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7400" windowHeight="11235" tabRatio="707" activeTab="1"/>
  </bookViews>
  <sheets>
    <sheet name="Instructions" sheetId="1" r:id="rId1"/>
    <sheet name="Summary" sheetId="2" r:id="rId2"/>
    <sheet name="15 KVA" sheetId="3" r:id="rId3"/>
    <sheet name="30 KVA" sheetId="4" r:id="rId4"/>
    <sheet name="45 KVA" sheetId="5" r:id="rId5"/>
    <sheet name="75 KVA" sheetId="6" r:id="rId6"/>
    <sheet name="112.5 KVA" sheetId="7" r:id="rId7"/>
    <sheet name="150 KVA" sheetId="8" r:id="rId8"/>
    <sheet name="225 KVA" sheetId="9" r:id="rId9"/>
    <sheet name="300 KVA" sheetId="10" r:id="rId10"/>
    <sheet name="500 KVA" sheetId="11" r:id="rId11"/>
    <sheet name="How to Use" sheetId="12" r:id="rId12"/>
  </sheets>
  <definedNames>
    <definedName name="_xlnm.Print_Area" localSheetId="6">'112.5 KVA'!$A$1:$E$54</definedName>
    <definedName name="_xlnm.Print_Area" localSheetId="2">'15 KVA'!$A$1:$E$54</definedName>
    <definedName name="_xlnm.Print_Area" localSheetId="7">'150 KVA'!$A$1:$E$54</definedName>
    <definedName name="_xlnm.Print_Area" localSheetId="8">'225 KVA'!$A$1:$E$54</definedName>
    <definedName name="_xlnm.Print_Area" localSheetId="3">'30 KVA'!$A$1:$E$54</definedName>
    <definedName name="_xlnm.Print_Area" localSheetId="9">'300 KVA'!$A$1:$E$54</definedName>
    <definedName name="_xlnm.Print_Area" localSheetId="4">'45 KVA'!$A$1:$E$54</definedName>
    <definedName name="_xlnm.Print_Area" localSheetId="10">'500 KVA'!$A$1:$E$54</definedName>
    <definedName name="_xlnm.Print_Area" localSheetId="5">'75 KVA'!$A$1:$E$57</definedName>
    <definedName name="_xlnm.Print_Area" localSheetId="0">'Instructions'!$A$1:$K$29</definedName>
    <definedName name="_xlnm.Print_Area" localSheetId="1">'Summary'!$A$1:$E$55</definedName>
  </definedNames>
  <calcPr fullCalcOnLoad="1"/>
</workbook>
</file>

<file path=xl/comments10.xml><?xml version="1.0" encoding="utf-8"?>
<comments xmlns="http://schemas.openxmlformats.org/spreadsheetml/2006/main">
  <authors>
    <author>Philip J.A. Ling</author>
    <author>aj</author>
  </authors>
  <commentList>
    <comment ref="B8" authorId="0">
      <text>
        <r>
          <rPr>
            <sz val="10"/>
            <rFont val="Arial"/>
            <family val="2"/>
          </rPr>
          <t>Enter the project name.</t>
        </r>
        <r>
          <rPr>
            <sz val="8"/>
            <rFont val="Tahoma"/>
            <family val="2"/>
          </rPr>
          <t xml:space="preserve">
</t>
        </r>
      </text>
    </comment>
    <comment ref="B11" authorId="1">
      <text>
        <r>
          <rPr>
            <sz val="10"/>
            <rFont val="Arial"/>
            <family val="2"/>
          </rPr>
          <t>What is the % loading on your transformers?</t>
        </r>
        <r>
          <rPr>
            <b/>
            <sz val="8"/>
            <rFont val="Tahoma"/>
            <family val="2"/>
          </rPr>
          <t xml:space="preserve">
</t>
        </r>
      </text>
    </comment>
    <comment ref="B12" authorId="1">
      <text>
        <r>
          <rPr>
            <sz val="10"/>
            <rFont val="Arial"/>
            <family val="2"/>
          </rPr>
          <t>Portion of load that remains on transformer outside of normal operating period as defined above</t>
        </r>
      </text>
    </comment>
    <comment ref="B13" authorId="1">
      <text>
        <r>
          <rPr>
            <sz val="10"/>
            <rFont val="Arial"/>
            <family val="2"/>
          </rPr>
          <t>How many hours a day is your equipment operating?</t>
        </r>
      </text>
    </comment>
    <comment ref="B14" authorId="1">
      <text>
        <r>
          <rPr>
            <sz val="10"/>
            <rFont val="Arial"/>
            <family val="2"/>
          </rPr>
          <t>How many days a year is your facility operating?</t>
        </r>
      </text>
    </comment>
    <comment ref="B16" authorId="1">
      <text>
        <r>
          <rPr>
            <sz val="10"/>
            <rFont val="Arial"/>
            <family val="2"/>
          </rPr>
          <t>Enter the Demand rate being charged by the utility. This is the premium that a Utility charges for peak usage. If Demand rate not known enter $ 0</t>
        </r>
      </text>
    </comment>
    <comment ref="B17" authorId="0">
      <text>
        <r>
          <rPr>
            <sz val="10"/>
            <rFont val="Arial"/>
            <family val="2"/>
          </rPr>
          <t xml:space="preserve">Enter the Power Factor of the load fed from the transformer (not the building entrance). This varies by application typcially 0.7-0.8 is typical for many 120V electronic loads such as computers.
0.8 is typical of a 3-phase loads or a mixed load environment. 
Some equipment has internal filtering and in such cases power factor would be in the 0.9 - 0.98 range. </t>
        </r>
        <r>
          <rPr>
            <sz val="8"/>
            <rFont val="Tahoma"/>
            <family val="2"/>
          </rPr>
          <t xml:space="preserve">
</t>
        </r>
      </text>
    </comment>
    <comment ref="B18" authorId="1">
      <text>
        <r>
          <rPr>
            <sz val="10"/>
            <rFont val="Arial"/>
            <family val="2"/>
          </rPr>
          <t>kW per ton of cooling required to offset the transformer losses.
Many systems require 1.75 kW per ton of cooling.  Very efficient systems may be as low as 1.0 kW/ton
1 ton of cooling = removing heat at the rate of 3.52 thermal kW</t>
        </r>
      </text>
    </comment>
    <comment ref="C20" authorId="0">
      <text>
        <r>
          <rPr>
            <sz val="10"/>
            <rFont val="Arial"/>
            <family val="2"/>
          </rPr>
          <t>Losses increase up to 1.8 times when a conventional transformer is subjected to 120V computer loads.  See reference on page 2.  
Enter a lower loss multiplier such as 1.5 for mixed loads.
To compare with just linear load enter a loss multiplier of 1.0</t>
        </r>
      </text>
    </comment>
    <comment ref="B40" authorId="1">
      <text>
        <r>
          <rPr>
            <sz val="10"/>
            <rFont val="Arial"/>
            <family val="2"/>
          </rPr>
          <t>For retrofit, enter $ 0, For upgrade enter the price for the other Transformers. Compare against traditional Copper K13 Transformer.</t>
        </r>
      </text>
    </comment>
    <comment ref="B41" authorId="1">
      <text>
        <r>
          <rPr>
            <sz val="10"/>
            <rFont val="Arial"/>
            <family val="2"/>
          </rPr>
          <t>Enter the price for Acme Electric C3 Copper K13 Transformers.</t>
        </r>
      </text>
    </comment>
    <comment ref="B15" authorId="1">
      <text>
        <r>
          <rPr>
            <sz val="10"/>
            <rFont val="Arial"/>
            <family val="2"/>
          </rPr>
          <t>What rate per kWh are you paying the utility?</t>
        </r>
      </text>
    </comment>
  </commentList>
</comments>
</file>

<file path=xl/comments11.xml><?xml version="1.0" encoding="utf-8"?>
<comments xmlns="http://schemas.openxmlformats.org/spreadsheetml/2006/main">
  <authors>
    <author>Philip J.A. Ling</author>
    <author>aj</author>
  </authors>
  <commentList>
    <comment ref="B8" authorId="0">
      <text>
        <r>
          <rPr>
            <sz val="10"/>
            <rFont val="Arial"/>
            <family val="2"/>
          </rPr>
          <t>Enter the project name.</t>
        </r>
        <r>
          <rPr>
            <sz val="8"/>
            <rFont val="Tahoma"/>
            <family val="2"/>
          </rPr>
          <t xml:space="preserve">
</t>
        </r>
      </text>
    </comment>
    <comment ref="B11" authorId="1">
      <text>
        <r>
          <rPr>
            <sz val="10"/>
            <rFont val="Arial"/>
            <family val="2"/>
          </rPr>
          <t>What is the % loading on your transformers?</t>
        </r>
        <r>
          <rPr>
            <b/>
            <sz val="8"/>
            <rFont val="Tahoma"/>
            <family val="2"/>
          </rPr>
          <t xml:space="preserve">
</t>
        </r>
      </text>
    </comment>
    <comment ref="B12" authorId="1">
      <text>
        <r>
          <rPr>
            <sz val="10"/>
            <rFont val="Arial"/>
            <family val="2"/>
          </rPr>
          <t>Portion of load that remains on transformer outside of normal operating period as defined above</t>
        </r>
      </text>
    </comment>
    <comment ref="B13" authorId="1">
      <text>
        <r>
          <rPr>
            <sz val="10"/>
            <rFont val="Arial"/>
            <family val="2"/>
          </rPr>
          <t>How many hours a day is your equipment operating?</t>
        </r>
      </text>
    </comment>
    <comment ref="B14" authorId="1">
      <text>
        <r>
          <rPr>
            <sz val="10"/>
            <rFont val="Arial"/>
            <family val="2"/>
          </rPr>
          <t>How many days a year is your facility operating?</t>
        </r>
      </text>
    </comment>
    <comment ref="B16" authorId="1">
      <text>
        <r>
          <rPr>
            <sz val="10"/>
            <rFont val="Arial"/>
            <family val="2"/>
          </rPr>
          <t>Enter the Demand rate being charged by the utility. This is the premium that a Utility charges for peak usage. If Demand rate not known enter $ 0</t>
        </r>
      </text>
    </comment>
    <comment ref="B17" authorId="0">
      <text>
        <r>
          <rPr>
            <sz val="10"/>
            <rFont val="Arial"/>
            <family val="2"/>
          </rPr>
          <t xml:space="preserve">Enter the Power Factor of the load fed from the transformer (not the building entrance). This varies by application typcially 0.7-0.8 is typical for many 120V electronic loads such as computers.
0.8 is typical of a 3-phase loads or a mixed load environment. 
Some equipment has internal filtering and in such cases power factor would be in the 0.9 - 0.98 range. </t>
        </r>
        <r>
          <rPr>
            <sz val="8"/>
            <rFont val="Tahoma"/>
            <family val="2"/>
          </rPr>
          <t xml:space="preserve">
</t>
        </r>
      </text>
    </comment>
    <comment ref="B18" authorId="1">
      <text>
        <r>
          <rPr>
            <sz val="10"/>
            <rFont val="Arial"/>
            <family val="2"/>
          </rPr>
          <t>kW per ton of cooling required to offset the transformer losses.
Many systems require 1.75 kW per ton of cooling.  Very efficient systems may be as low as 1.0 kW/ton
1 ton of cooling = removing heat at the rate of 3.52 thermal kW</t>
        </r>
      </text>
    </comment>
    <comment ref="C20" authorId="0">
      <text>
        <r>
          <rPr>
            <sz val="10"/>
            <rFont val="Arial"/>
            <family val="2"/>
          </rPr>
          <t>Losses increase up to 1.8 times when a conventional transformer is subjected to 120V computer loads.  See reference on page 2.  
Enter a lower loss multiplier such as 1.5 for mixed loads.
To compare with just linear load enter a loss multiplier of 1.0</t>
        </r>
      </text>
    </comment>
    <comment ref="B40" authorId="1">
      <text>
        <r>
          <rPr>
            <sz val="10"/>
            <rFont val="Arial"/>
            <family val="2"/>
          </rPr>
          <t>For retrofit, enter $ 0, For upgrade enter the price for the other Transformers. Compare against traditional Copper K13 Transformer.</t>
        </r>
      </text>
    </comment>
    <comment ref="B41" authorId="1">
      <text>
        <r>
          <rPr>
            <sz val="10"/>
            <rFont val="Arial"/>
            <family val="2"/>
          </rPr>
          <t>Enter the price for Acme Electric C3 Copper K13 Transformers.</t>
        </r>
      </text>
    </comment>
    <comment ref="B15" authorId="1">
      <text>
        <r>
          <rPr>
            <sz val="10"/>
            <rFont val="Arial"/>
            <family val="2"/>
          </rPr>
          <t>What rate per kWh are you paying the utility?</t>
        </r>
      </text>
    </comment>
  </commentList>
</comments>
</file>

<file path=xl/comments2.xml><?xml version="1.0" encoding="utf-8"?>
<comments xmlns="http://schemas.openxmlformats.org/spreadsheetml/2006/main">
  <authors>
    <author>Michael David Boyd</author>
  </authors>
  <commentList>
    <comment ref="B44" authorId="0">
      <text>
        <r>
          <rPr>
            <b/>
            <sz val="8"/>
            <rFont val="Tahoma"/>
            <family val="2"/>
          </rPr>
          <t>Energy costs have increased over the past 8 years 4.1 % on average per year on a National Average</t>
        </r>
      </text>
    </comment>
  </commentList>
</comments>
</file>

<file path=xl/comments3.xml><?xml version="1.0" encoding="utf-8"?>
<comments xmlns="http://schemas.openxmlformats.org/spreadsheetml/2006/main">
  <authors>
    <author>Philip J.A. Ling</author>
    <author>aj</author>
  </authors>
  <commentList>
    <comment ref="B8" authorId="0">
      <text>
        <r>
          <rPr>
            <sz val="10"/>
            <rFont val="Arial"/>
            <family val="2"/>
          </rPr>
          <t>Enter the project name.</t>
        </r>
        <r>
          <rPr>
            <sz val="8"/>
            <rFont val="Tahoma"/>
            <family val="2"/>
          </rPr>
          <t xml:space="preserve">
</t>
        </r>
      </text>
    </comment>
    <comment ref="B11" authorId="1">
      <text>
        <r>
          <rPr>
            <sz val="10"/>
            <rFont val="Arial"/>
            <family val="2"/>
          </rPr>
          <t>What is the % loading on your transformers?</t>
        </r>
        <r>
          <rPr>
            <b/>
            <sz val="8"/>
            <rFont val="Tahoma"/>
            <family val="2"/>
          </rPr>
          <t xml:space="preserve">
</t>
        </r>
      </text>
    </comment>
    <comment ref="B12" authorId="1">
      <text>
        <r>
          <rPr>
            <sz val="10"/>
            <rFont val="Arial"/>
            <family val="2"/>
          </rPr>
          <t>Portion of load that remains on transformer outside of normal operating period as defined above</t>
        </r>
      </text>
    </comment>
    <comment ref="B13" authorId="1">
      <text>
        <r>
          <rPr>
            <sz val="10"/>
            <rFont val="Arial"/>
            <family val="2"/>
          </rPr>
          <t>How many hours a day is your equipment operating?</t>
        </r>
      </text>
    </comment>
    <comment ref="B14" authorId="1">
      <text>
        <r>
          <rPr>
            <sz val="10"/>
            <rFont val="Arial"/>
            <family val="2"/>
          </rPr>
          <t>How many days a year is your facility operating?</t>
        </r>
      </text>
    </comment>
    <comment ref="B15" authorId="1">
      <text>
        <r>
          <rPr>
            <sz val="10"/>
            <rFont val="Arial"/>
            <family val="2"/>
          </rPr>
          <t>What rate per kWh are you paying the utility?</t>
        </r>
      </text>
    </comment>
    <comment ref="B16" authorId="1">
      <text>
        <r>
          <rPr>
            <sz val="10"/>
            <rFont val="Arial"/>
            <family val="2"/>
          </rPr>
          <t>Enter the Demand rate being charged by the utility. This is the premium that a Utility charges for peak usage. If Demand rate not known enter $ 0</t>
        </r>
      </text>
    </comment>
    <comment ref="B17" authorId="0">
      <text>
        <r>
          <rPr>
            <sz val="10"/>
            <rFont val="Arial"/>
            <family val="2"/>
          </rPr>
          <t xml:space="preserve">Enter the Power Factor of the load fed from the transformer (not the building entrance). This varies by application typcially 0.7-0.8 is typical for many 120V electronic loads such as computers.
0.8 is typical of a 3-phase loads or a mixed load environment. 
Some equipment has internal filtering and in such cases power factor would be in the 0.9 - 0.98 range. </t>
        </r>
        <r>
          <rPr>
            <sz val="8"/>
            <rFont val="Tahoma"/>
            <family val="2"/>
          </rPr>
          <t xml:space="preserve">
</t>
        </r>
      </text>
    </comment>
    <comment ref="B18" authorId="1">
      <text>
        <r>
          <rPr>
            <sz val="10"/>
            <rFont val="Arial"/>
            <family val="2"/>
          </rPr>
          <t>kW per ton of cooling required to offset the transformer losses.
Many systems require 1.75 kW per ton of cooling.  Very efficient systems may be as low as 1.0 kW/ton
1 ton of cooling = removing heat at the rate of 3.52 thermal kW</t>
        </r>
      </text>
    </comment>
    <comment ref="C20" authorId="0">
      <text>
        <r>
          <rPr>
            <sz val="10"/>
            <rFont val="Arial"/>
            <family val="2"/>
          </rPr>
          <t>Losses increase up to 1.8 times when a conventional transformer is subjected to 120V computer loads.  See reference on page 2.  
Enter a lower loss multiplier such as 1.5 for mixed loads.
To compare with just linear load enter a loss multiplier of 1.0</t>
        </r>
      </text>
    </comment>
    <comment ref="B40" authorId="1">
      <text>
        <r>
          <rPr>
            <sz val="10"/>
            <rFont val="Arial"/>
            <family val="2"/>
          </rPr>
          <t>For retrofit, enter $ 0, For upgrade enter the price for the other Transformers. Compare against traditional Copper K13 Transformer.</t>
        </r>
      </text>
    </comment>
    <comment ref="B41" authorId="1">
      <text>
        <r>
          <rPr>
            <sz val="10"/>
            <rFont val="Arial"/>
            <family val="2"/>
          </rPr>
          <t>Enter the price for Acme Electric C3 Copper K13 Transformers.</t>
        </r>
      </text>
    </comment>
  </commentList>
</comments>
</file>

<file path=xl/comments4.xml><?xml version="1.0" encoding="utf-8"?>
<comments xmlns="http://schemas.openxmlformats.org/spreadsheetml/2006/main">
  <authors>
    <author>Philip J.A. Ling</author>
    <author>aj</author>
  </authors>
  <commentList>
    <comment ref="B8" authorId="0">
      <text>
        <r>
          <rPr>
            <sz val="10"/>
            <rFont val="Arial"/>
            <family val="2"/>
          </rPr>
          <t>Enter the project name.</t>
        </r>
        <r>
          <rPr>
            <sz val="8"/>
            <rFont val="Tahoma"/>
            <family val="2"/>
          </rPr>
          <t xml:space="preserve">
</t>
        </r>
      </text>
    </comment>
    <comment ref="B11" authorId="1">
      <text>
        <r>
          <rPr>
            <sz val="10"/>
            <rFont val="Arial"/>
            <family val="2"/>
          </rPr>
          <t>What is the % loading on your transformers?</t>
        </r>
        <r>
          <rPr>
            <b/>
            <sz val="8"/>
            <rFont val="Tahoma"/>
            <family val="2"/>
          </rPr>
          <t xml:space="preserve">
</t>
        </r>
      </text>
    </comment>
    <comment ref="B12" authorId="1">
      <text>
        <r>
          <rPr>
            <sz val="10"/>
            <rFont val="Arial"/>
            <family val="2"/>
          </rPr>
          <t>Portion of load that remains on transformer outside of normal operating period as defined above</t>
        </r>
      </text>
    </comment>
    <comment ref="B13" authorId="1">
      <text>
        <r>
          <rPr>
            <sz val="10"/>
            <rFont val="Arial"/>
            <family val="2"/>
          </rPr>
          <t>How many hours a day is your equipment operating?</t>
        </r>
      </text>
    </comment>
    <comment ref="B14" authorId="1">
      <text>
        <r>
          <rPr>
            <sz val="10"/>
            <rFont val="Arial"/>
            <family val="2"/>
          </rPr>
          <t>How many days a year is your facility operating?</t>
        </r>
      </text>
    </comment>
    <comment ref="B16" authorId="1">
      <text>
        <r>
          <rPr>
            <sz val="10"/>
            <rFont val="Arial"/>
            <family val="2"/>
          </rPr>
          <t>Enter the Demand rate being charged by the utility. This is the premium that a Utility charges for peak usage. If Demand rate not known enter $ 0</t>
        </r>
      </text>
    </comment>
    <comment ref="B17" authorId="0">
      <text>
        <r>
          <rPr>
            <sz val="10"/>
            <rFont val="Arial"/>
            <family val="2"/>
          </rPr>
          <t xml:space="preserve">Enter the Power Factor of the load fed from the transformer (not the building entrance). This varies by application typcially 0.7-0.8 is typical for many 120V electronic loads such as computers.
0.8 is typical of a 3-phase loads or a mixed load environment. 
Some equipment has internal filtering and in such cases power factor would be in the 0.9 - 0.98 range. </t>
        </r>
        <r>
          <rPr>
            <sz val="8"/>
            <rFont val="Tahoma"/>
            <family val="2"/>
          </rPr>
          <t xml:space="preserve">
</t>
        </r>
      </text>
    </comment>
    <comment ref="B18" authorId="1">
      <text>
        <r>
          <rPr>
            <sz val="10"/>
            <rFont val="Arial"/>
            <family val="2"/>
          </rPr>
          <t>kW per ton of cooling required to offset the transformer losses.
Many systems require 1.75 kW per ton of cooling.  Very efficient systems may be as low as 1.0 kW/ton
1 ton of cooling = removing heat at the rate of 3.52 thermal kW</t>
        </r>
      </text>
    </comment>
    <comment ref="C20" authorId="0">
      <text>
        <r>
          <rPr>
            <sz val="10"/>
            <rFont val="Arial"/>
            <family val="2"/>
          </rPr>
          <t>Losses increase up to 1.8 times when a conventional transformer is subjected to 120V computer loads.  See reference on page 2.  
Enter a lower loss multiplier such as 1.5 for mixed loads.
To compare with just linear load enter a loss multiplier of 1.0</t>
        </r>
      </text>
    </comment>
    <comment ref="B40" authorId="1">
      <text>
        <r>
          <rPr>
            <sz val="10"/>
            <rFont val="Arial"/>
            <family val="2"/>
          </rPr>
          <t>For retrofit, enter $ 0, For upgrade enter the price for the other Transformers. Compare against traditional Copper K13 Transformer.</t>
        </r>
      </text>
    </comment>
    <comment ref="B41" authorId="1">
      <text>
        <r>
          <rPr>
            <sz val="10"/>
            <rFont val="Arial"/>
            <family val="2"/>
          </rPr>
          <t>Enter the price for Acme Electric C3 Copper K13 Transformers.</t>
        </r>
      </text>
    </comment>
    <comment ref="B15" authorId="1">
      <text>
        <r>
          <rPr>
            <sz val="10"/>
            <rFont val="Arial"/>
            <family val="2"/>
          </rPr>
          <t>What rate per kWh are you paying the utility?</t>
        </r>
      </text>
    </comment>
  </commentList>
</comments>
</file>

<file path=xl/comments5.xml><?xml version="1.0" encoding="utf-8"?>
<comments xmlns="http://schemas.openxmlformats.org/spreadsheetml/2006/main">
  <authors>
    <author>Philip J.A. Ling</author>
    <author>aj</author>
  </authors>
  <commentList>
    <comment ref="B8" authorId="0">
      <text>
        <r>
          <rPr>
            <sz val="10"/>
            <rFont val="Arial"/>
            <family val="2"/>
          </rPr>
          <t>Enter the project name.</t>
        </r>
        <r>
          <rPr>
            <sz val="8"/>
            <rFont val="Tahoma"/>
            <family val="2"/>
          </rPr>
          <t xml:space="preserve">
</t>
        </r>
      </text>
    </comment>
    <comment ref="B11" authorId="1">
      <text>
        <r>
          <rPr>
            <sz val="10"/>
            <rFont val="Arial"/>
            <family val="2"/>
          </rPr>
          <t>What is the % loading on your transformers?</t>
        </r>
        <r>
          <rPr>
            <b/>
            <sz val="8"/>
            <rFont val="Tahoma"/>
            <family val="2"/>
          </rPr>
          <t xml:space="preserve">
</t>
        </r>
      </text>
    </comment>
    <comment ref="B12" authorId="1">
      <text>
        <r>
          <rPr>
            <sz val="10"/>
            <rFont val="Arial"/>
            <family val="2"/>
          </rPr>
          <t>Portion of load that remains on transformer outside of normal operating period as defined above</t>
        </r>
      </text>
    </comment>
    <comment ref="B13" authorId="1">
      <text>
        <r>
          <rPr>
            <sz val="10"/>
            <rFont val="Arial"/>
            <family val="2"/>
          </rPr>
          <t>How many hours a day is your equipment operating?</t>
        </r>
      </text>
    </comment>
    <comment ref="B14" authorId="1">
      <text>
        <r>
          <rPr>
            <sz val="10"/>
            <rFont val="Arial"/>
            <family val="2"/>
          </rPr>
          <t>How many days a year is your facility operating?</t>
        </r>
      </text>
    </comment>
    <comment ref="B16" authorId="1">
      <text>
        <r>
          <rPr>
            <sz val="10"/>
            <rFont val="Arial"/>
            <family val="2"/>
          </rPr>
          <t>Enter the Demand rate being charged by the utility. This is the premium that a Utility charges for peak usage. If Demand rate not known enter $ 0</t>
        </r>
      </text>
    </comment>
    <comment ref="B17" authorId="0">
      <text>
        <r>
          <rPr>
            <sz val="10"/>
            <rFont val="Arial"/>
            <family val="2"/>
          </rPr>
          <t xml:space="preserve">Enter the Power Factor of the load fed from the transformer (not the building entrance). This varies by application typcially 0.7-0.8 is typical for many 120V electronic loads such as computers.
0.8 is typical of a 3-phase loads or a mixed load environment. 
Some equipment has internal filtering and in such cases power factor would be in the 0.9 - 0.98 range. </t>
        </r>
        <r>
          <rPr>
            <sz val="8"/>
            <rFont val="Tahoma"/>
            <family val="2"/>
          </rPr>
          <t xml:space="preserve">
</t>
        </r>
      </text>
    </comment>
    <comment ref="B18" authorId="1">
      <text>
        <r>
          <rPr>
            <sz val="10"/>
            <rFont val="Arial"/>
            <family val="2"/>
          </rPr>
          <t>kW per ton of cooling required to offset the transformer losses.
Many systems require 1.75 kW per ton of cooling.  Very efficient systems may be as low as 1.0 kW/ton
1 ton of cooling = removing heat at the rate of 3.52 thermal kW</t>
        </r>
      </text>
    </comment>
    <comment ref="C20" authorId="0">
      <text>
        <r>
          <rPr>
            <sz val="10"/>
            <rFont val="Arial"/>
            <family val="2"/>
          </rPr>
          <t>Losses increase up to 1.8 times when a conventional transformer is subjected to 120V computer loads.  See reference on page 2.  
Enter a lower loss multiplier such as 1.5 for mixed loads.
To compare with just linear load enter a loss multiplier of 1.0</t>
        </r>
      </text>
    </comment>
    <comment ref="B40" authorId="1">
      <text>
        <r>
          <rPr>
            <sz val="10"/>
            <rFont val="Arial"/>
            <family val="2"/>
          </rPr>
          <t>For retrofit, enter $ 0, For upgrade enter the price for the other Transformers. Compare against traditional Copper K13 Transformer.</t>
        </r>
      </text>
    </comment>
    <comment ref="B41" authorId="1">
      <text>
        <r>
          <rPr>
            <sz val="10"/>
            <rFont val="Arial"/>
            <family val="2"/>
          </rPr>
          <t>Enter the price for Acme Electric C3 Copper K13 Transformers.</t>
        </r>
      </text>
    </comment>
    <comment ref="B15" authorId="1">
      <text>
        <r>
          <rPr>
            <sz val="10"/>
            <rFont val="Arial"/>
            <family val="2"/>
          </rPr>
          <t>What rate per kWh are you paying the utility?</t>
        </r>
      </text>
    </comment>
  </commentList>
</comments>
</file>

<file path=xl/comments6.xml><?xml version="1.0" encoding="utf-8"?>
<comments xmlns="http://schemas.openxmlformats.org/spreadsheetml/2006/main">
  <authors>
    <author>aj</author>
    <author>Philip J.A. Ling</author>
  </authors>
  <commentList>
    <comment ref="B11" authorId="0">
      <text>
        <r>
          <rPr>
            <sz val="10"/>
            <rFont val="Arial"/>
            <family val="2"/>
          </rPr>
          <t>What is the % loading on your transformers?</t>
        </r>
        <r>
          <rPr>
            <b/>
            <sz val="8"/>
            <rFont val="Tahoma"/>
            <family val="2"/>
          </rPr>
          <t xml:space="preserve">
</t>
        </r>
      </text>
    </comment>
    <comment ref="B13" authorId="0">
      <text>
        <r>
          <rPr>
            <sz val="10"/>
            <rFont val="Arial"/>
            <family val="2"/>
          </rPr>
          <t>How many hours a day is your equipment operating?</t>
        </r>
      </text>
    </comment>
    <comment ref="B14" authorId="0">
      <text>
        <r>
          <rPr>
            <sz val="10"/>
            <rFont val="Arial"/>
            <family val="2"/>
          </rPr>
          <t>How many days a year is your facility operating?</t>
        </r>
      </text>
    </comment>
    <comment ref="B16" authorId="0">
      <text>
        <r>
          <rPr>
            <sz val="10"/>
            <rFont val="Arial"/>
            <family val="2"/>
          </rPr>
          <t>Enter the Demand rate being charged by the utility. This is the premium that a Utility charges for peak usage. If Demand rate not known enter $ 0</t>
        </r>
      </text>
    </comment>
    <comment ref="B18" authorId="0">
      <text>
        <r>
          <rPr>
            <sz val="10"/>
            <rFont val="Arial"/>
            <family val="2"/>
          </rPr>
          <t>kW per ton of cooling required to offset the transformer losses.
Many systems require 1.75 kW per ton of cooling.  Very efficient systems may be as low as 1.0 kW/ton
1 ton of cooling = removing heat at the rate of 3.52 thermal kW</t>
        </r>
      </text>
    </comment>
    <comment ref="B8" authorId="1">
      <text>
        <r>
          <rPr>
            <sz val="10"/>
            <rFont val="Arial"/>
            <family val="2"/>
          </rPr>
          <t>Enter the project name.</t>
        </r>
        <r>
          <rPr>
            <sz val="8"/>
            <rFont val="Tahoma"/>
            <family val="2"/>
          </rPr>
          <t xml:space="preserve">
</t>
        </r>
      </text>
    </comment>
    <comment ref="B17" authorId="1">
      <text>
        <r>
          <rPr>
            <sz val="10"/>
            <rFont val="Arial"/>
            <family val="2"/>
          </rPr>
          <t xml:space="preserve">Enter the Power Factor of the load fed from the transformer (not the building entrance). This varies by application typcially 0.7-0.8 is typical for many 120V electronic loads such as computers.
0.8 is typical of a 3-phase loads or a mixed load environment. 
Some equipment has internal filtering and in such cases power factor would be in the 0.9 - 0.98 range. </t>
        </r>
        <r>
          <rPr>
            <sz val="8"/>
            <rFont val="Tahoma"/>
            <family val="2"/>
          </rPr>
          <t xml:space="preserve">
</t>
        </r>
      </text>
    </comment>
    <comment ref="C20" authorId="1">
      <text>
        <r>
          <rPr>
            <sz val="10"/>
            <rFont val="Arial"/>
            <family val="2"/>
          </rPr>
          <t>Losses increase up to 1.8 times when a conventional transformer is subjected to 120V computer loads.  See reference on page 2.  
Enter a lower loss multiplier such as 1.5 for mixed loads.
To compare with just linear load enter a loss multiplier of 1.0</t>
        </r>
      </text>
    </comment>
    <comment ref="B12" authorId="0">
      <text>
        <r>
          <rPr>
            <sz val="10"/>
            <rFont val="Arial"/>
            <family val="2"/>
          </rPr>
          <t>Portion of load that remains on transformer outside of normal operating period as defined above</t>
        </r>
      </text>
    </comment>
    <comment ref="B41" authorId="0">
      <text>
        <r>
          <rPr>
            <sz val="10"/>
            <rFont val="Arial"/>
            <family val="2"/>
          </rPr>
          <t>Enter the price for Acme Electric C3 Copper K13 Transformers.</t>
        </r>
      </text>
    </comment>
    <comment ref="B40" authorId="0">
      <text>
        <r>
          <rPr>
            <sz val="10"/>
            <rFont val="Arial"/>
            <family val="2"/>
          </rPr>
          <t>For retrofit, enter $ 0, For upgrade enter the price for the other Transformers. Compare against traditional Copper K13 Transformer.</t>
        </r>
      </text>
    </comment>
    <comment ref="B15" authorId="0">
      <text>
        <r>
          <rPr>
            <sz val="10"/>
            <rFont val="Arial"/>
            <family val="2"/>
          </rPr>
          <t>What rate per kWh are you paying the utility?</t>
        </r>
      </text>
    </comment>
  </commentList>
</comments>
</file>

<file path=xl/comments7.xml><?xml version="1.0" encoding="utf-8"?>
<comments xmlns="http://schemas.openxmlformats.org/spreadsheetml/2006/main">
  <authors>
    <author>Philip J.A. Ling</author>
    <author>aj</author>
  </authors>
  <commentList>
    <comment ref="B8" authorId="0">
      <text>
        <r>
          <rPr>
            <sz val="10"/>
            <rFont val="Arial"/>
            <family val="2"/>
          </rPr>
          <t>Enter the project name.</t>
        </r>
        <r>
          <rPr>
            <sz val="8"/>
            <rFont val="Tahoma"/>
            <family val="2"/>
          </rPr>
          <t xml:space="preserve">
</t>
        </r>
      </text>
    </comment>
    <comment ref="B11" authorId="1">
      <text>
        <r>
          <rPr>
            <sz val="10"/>
            <rFont val="Arial"/>
            <family val="2"/>
          </rPr>
          <t>What is the % loading on your transformers?</t>
        </r>
        <r>
          <rPr>
            <b/>
            <sz val="8"/>
            <rFont val="Tahoma"/>
            <family val="2"/>
          </rPr>
          <t xml:space="preserve">
</t>
        </r>
      </text>
    </comment>
    <comment ref="B12" authorId="1">
      <text>
        <r>
          <rPr>
            <sz val="10"/>
            <rFont val="Arial"/>
            <family val="2"/>
          </rPr>
          <t>Portion of load that remains on transformer outside of normal operating period as defined above</t>
        </r>
      </text>
    </comment>
    <comment ref="B13" authorId="1">
      <text>
        <r>
          <rPr>
            <sz val="10"/>
            <rFont val="Arial"/>
            <family val="2"/>
          </rPr>
          <t>How many hours a day is your equipment operating?</t>
        </r>
      </text>
    </comment>
    <comment ref="B14" authorId="1">
      <text>
        <r>
          <rPr>
            <sz val="10"/>
            <rFont val="Arial"/>
            <family val="2"/>
          </rPr>
          <t>How many days a year is your facility operating?</t>
        </r>
      </text>
    </comment>
    <comment ref="B16" authorId="1">
      <text>
        <r>
          <rPr>
            <sz val="10"/>
            <rFont val="Arial"/>
            <family val="2"/>
          </rPr>
          <t>Enter the Demand rate being charged by the utility. This is the premium that a Utility charges for peak usage. If Demand rate not known enter $ 0</t>
        </r>
      </text>
    </comment>
    <comment ref="B17" authorId="0">
      <text>
        <r>
          <rPr>
            <sz val="10"/>
            <rFont val="Arial"/>
            <family val="2"/>
          </rPr>
          <t xml:space="preserve">Enter the Power Factor of the load fed from the transformer (not the building entrance). This varies by application typcially 0.7-0.8 is typical for many 120V electronic loads such as computers.
0.8 is typical of a 3-phase loads or a mixed load environment. 
Some equipment has internal filtering and in such cases power factor would be in the 0.9 - 0.98 range. </t>
        </r>
        <r>
          <rPr>
            <sz val="8"/>
            <rFont val="Tahoma"/>
            <family val="2"/>
          </rPr>
          <t xml:space="preserve">
</t>
        </r>
      </text>
    </comment>
    <comment ref="B18" authorId="1">
      <text>
        <r>
          <rPr>
            <sz val="10"/>
            <rFont val="Arial"/>
            <family val="2"/>
          </rPr>
          <t>kW per ton of cooling required to offset the transformer losses.
Many systems require 1.75 kW per ton of cooling.  Very efficient systems may be as low as 1.0 kW/ton
1 ton of cooling = removing heat at the rate of 3.52 thermal kW</t>
        </r>
      </text>
    </comment>
    <comment ref="C20" authorId="0">
      <text>
        <r>
          <rPr>
            <sz val="10"/>
            <rFont val="Arial"/>
            <family val="2"/>
          </rPr>
          <t>Losses increase up to 1.8 times when a conventional transformer is subjected to 120V computer loads.  See reference on page 2.  
Enter a lower loss multiplier such as 1.5 for mixed loads.
To compare with just linear load enter a loss multiplier of 1.0</t>
        </r>
      </text>
    </comment>
    <comment ref="B40" authorId="1">
      <text>
        <r>
          <rPr>
            <sz val="10"/>
            <rFont val="Arial"/>
            <family val="2"/>
          </rPr>
          <t>For retrofit, enter $ 0, For upgrade enter the price for the other Transformers. Compare against traditional Copper K13 Transformer.</t>
        </r>
      </text>
    </comment>
    <comment ref="B41" authorId="1">
      <text>
        <r>
          <rPr>
            <sz val="10"/>
            <rFont val="Arial"/>
            <family val="2"/>
          </rPr>
          <t>Enter the price for Acme Electric C3 Copper K13 Transformers.</t>
        </r>
      </text>
    </comment>
    <comment ref="B15" authorId="1">
      <text>
        <r>
          <rPr>
            <sz val="10"/>
            <rFont val="Arial"/>
            <family val="2"/>
          </rPr>
          <t>What rate per kWh are you paying the utility?</t>
        </r>
      </text>
    </comment>
  </commentList>
</comments>
</file>

<file path=xl/comments8.xml><?xml version="1.0" encoding="utf-8"?>
<comments xmlns="http://schemas.openxmlformats.org/spreadsheetml/2006/main">
  <authors>
    <author>Philip J.A. Ling</author>
    <author>aj</author>
  </authors>
  <commentList>
    <comment ref="B8" authorId="0">
      <text>
        <r>
          <rPr>
            <sz val="10"/>
            <rFont val="Arial"/>
            <family val="2"/>
          </rPr>
          <t>Enter the project name.</t>
        </r>
        <r>
          <rPr>
            <sz val="8"/>
            <rFont val="Tahoma"/>
            <family val="2"/>
          </rPr>
          <t xml:space="preserve">
</t>
        </r>
      </text>
    </comment>
    <comment ref="B11" authorId="1">
      <text>
        <r>
          <rPr>
            <sz val="10"/>
            <rFont val="Arial"/>
            <family val="2"/>
          </rPr>
          <t>What is the % loading on your transformers?</t>
        </r>
        <r>
          <rPr>
            <b/>
            <sz val="8"/>
            <rFont val="Tahoma"/>
            <family val="2"/>
          </rPr>
          <t xml:space="preserve">
</t>
        </r>
      </text>
    </comment>
    <comment ref="B12" authorId="1">
      <text>
        <r>
          <rPr>
            <sz val="10"/>
            <rFont val="Arial"/>
            <family val="2"/>
          </rPr>
          <t>Portion of load that remains on transformer outside of normal operating period as defined above</t>
        </r>
      </text>
    </comment>
    <comment ref="B13" authorId="1">
      <text>
        <r>
          <rPr>
            <sz val="10"/>
            <rFont val="Arial"/>
            <family val="2"/>
          </rPr>
          <t>How many hours a day is your equipment operating?</t>
        </r>
      </text>
    </comment>
    <comment ref="B14" authorId="1">
      <text>
        <r>
          <rPr>
            <sz val="10"/>
            <rFont val="Arial"/>
            <family val="2"/>
          </rPr>
          <t>How many days a year is your facility operating?</t>
        </r>
      </text>
    </comment>
    <comment ref="B16" authorId="1">
      <text>
        <r>
          <rPr>
            <sz val="10"/>
            <rFont val="Arial"/>
            <family val="2"/>
          </rPr>
          <t>Enter the Demand rate being charged by the utility. This is the premium that a Utility charges for peak usage. If Demand rate not known enter $ 0</t>
        </r>
      </text>
    </comment>
    <comment ref="B17" authorId="0">
      <text>
        <r>
          <rPr>
            <sz val="10"/>
            <rFont val="Arial"/>
            <family val="2"/>
          </rPr>
          <t xml:space="preserve">Enter the Power Factor of the load fed from the transformer (not the building entrance). This varies by application typcially 0.7-0.8 is typical for many 120V electronic loads such as computers.
0.8 is typical of a 3-phase loads or a mixed load environment. 
Some equipment has internal filtering and in such cases power factor would be in the 0.9 - 0.98 range. </t>
        </r>
        <r>
          <rPr>
            <sz val="8"/>
            <rFont val="Tahoma"/>
            <family val="2"/>
          </rPr>
          <t xml:space="preserve">
</t>
        </r>
      </text>
    </comment>
    <comment ref="B18" authorId="1">
      <text>
        <r>
          <rPr>
            <sz val="10"/>
            <rFont val="Arial"/>
            <family val="2"/>
          </rPr>
          <t>kW per ton of cooling required to offset the transformer losses.
Many systems require 1.75 kW per ton of cooling.  Very efficient systems may be as low as 1.0 kW/ton
1 ton of cooling = removing heat at the rate of 3.52 thermal kW</t>
        </r>
      </text>
    </comment>
    <comment ref="C20" authorId="0">
      <text>
        <r>
          <rPr>
            <sz val="10"/>
            <rFont val="Arial"/>
            <family val="2"/>
          </rPr>
          <t>Losses increase up to 1.8 times when a conventional transformer is subjected to 120V computer loads.  See reference on page 2.  
Enter a lower loss multiplier such as 1.5 for mixed loads.
To compare with just linear load enter a loss multiplier of 1.0</t>
        </r>
      </text>
    </comment>
    <comment ref="B41" authorId="1">
      <text>
        <r>
          <rPr>
            <sz val="10"/>
            <rFont val="Arial"/>
            <family val="2"/>
          </rPr>
          <t>Enter the price for Acme Electric C3 Copper K13 Transformers.</t>
        </r>
      </text>
    </comment>
    <comment ref="B15" authorId="1">
      <text>
        <r>
          <rPr>
            <sz val="10"/>
            <rFont val="Arial"/>
            <family val="2"/>
          </rPr>
          <t>What rate per kWh are you paying the utility?</t>
        </r>
      </text>
    </comment>
    <comment ref="B40" authorId="1">
      <text>
        <r>
          <rPr>
            <sz val="10"/>
            <rFont val="Arial"/>
            <family val="2"/>
          </rPr>
          <t>Enter the price for Acme Electric C3 Copper K13 Transformers.</t>
        </r>
      </text>
    </comment>
  </commentList>
</comments>
</file>

<file path=xl/comments9.xml><?xml version="1.0" encoding="utf-8"?>
<comments xmlns="http://schemas.openxmlformats.org/spreadsheetml/2006/main">
  <authors>
    <author>Philip J.A. Ling</author>
    <author>aj</author>
  </authors>
  <commentList>
    <comment ref="B8" authorId="0">
      <text>
        <r>
          <rPr>
            <sz val="10"/>
            <rFont val="Arial"/>
            <family val="2"/>
          </rPr>
          <t>Enter the project name.</t>
        </r>
        <r>
          <rPr>
            <sz val="8"/>
            <rFont val="Tahoma"/>
            <family val="2"/>
          </rPr>
          <t xml:space="preserve">
</t>
        </r>
      </text>
    </comment>
    <comment ref="B11" authorId="1">
      <text>
        <r>
          <rPr>
            <sz val="10"/>
            <rFont val="Arial"/>
            <family val="2"/>
          </rPr>
          <t>What is the % loading on your transformers?</t>
        </r>
        <r>
          <rPr>
            <b/>
            <sz val="8"/>
            <rFont val="Tahoma"/>
            <family val="2"/>
          </rPr>
          <t xml:space="preserve">
</t>
        </r>
      </text>
    </comment>
    <comment ref="B12" authorId="1">
      <text>
        <r>
          <rPr>
            <sz val="10"/>
            <rFont val="Arial"/>
            <family val="2"/>
          </rPr>
          <t>Portion of load that remains on transformer outside of normal operating period as defined above</t>
        </r>
      </text>
    </comment>
    <comment ref="B13" authorId="1">
      <text>
        <r>
          <rPr>
            <sz val="10"/>
            <rFont val="Arial"/>
            <family val="2"/>
          </rPr>
          <t>How many hours a day is your equipment operating?</t>
        </r>
      </text>
    </comment>
    <comment ref="B14" authorId="1">
      <text>
        <r>
          <rPr>
            <sz val="10"/>
            <rFont val="Arial"/>
            <family val="2"/>
          </rPr>
          <t>How many days a year is your facility operating?</t>
        </r>
      </text>
    </comment>
    <comment ref="B16" authorId="1">
      <text>
        <r>
          <rPr>
            <sz val="10"/>
            <rFont val="Arial"/>
            <family val="2"/>
          </rPr>
          <t>Enter the Demand rate being charged by the utility. This is the premium that a Utility charges for peak usage. If Demand rate not known enter $ 0</t>
        </r>
      </text>
    </comment>
    <comment ref="B17" authorId="0">
      <text>
        <r>
          <rPr>
            <sz val="10"/>
            <rFont val="Arial"/>
            <family val="2"/>
          </rPr>
          <t xml:space="preserve">Enter the Power Factor of the load fed from the transformer (not the building entrance). This varies by application typcially 0.7-0.8 is typical for many 120V electronic loads such as computers.
0.8 is typical of a 3-phase loads or a mixed load environment. 
Some equipment has internal filtering and in such cases power factor would be in the 0.9 - 0.98 range. </t>
        </r>
        <r>
          <rPr>
            <sz val="8"/>
            <rFont val="Tahoma"/>
            <family val="2"/>
          </rPr>
          <t xml:space="preserve">
</t>
        </r>
      </text>
    </comment>
    <comment ref="B18" authorId="1">
      <text>
        <r>
          <rPr>
            <sz val="10"/>
            <rFont val="Arial"/>
            <family val="2"/>
          </rPr>
          <t>kW per ton of cooling required to offset the transformer losses.
Many systems require 1.75 kW per ton of cooling.  Very efficient systems may be as low as 1.0 kW/ton
1 ton of cooling = removing heat at the rate of 3.52 thermal kW</t>
        </r>
      </text>
    </comment>
    <comment ref="C20" authorId="0">
      <text>
        <r>
          <rPr>
            <sz val="10"/>
            <rFont val="Arial"/>
            <family val="2"/>
          </rPr>
          <t>Losses increase up to 1.8 times when a conventional transformer is subjected to 120V computer loads.  See reference on page 2.  
Enter a lower loss multiplier such as 1.5 for mixed loads.
To compare with just linear load enter a loss multiplier of 1.0</t>
        </r>
      </text>
    </comment>
    <comment ref="B40" authorId="1">
      <text>
        <r>
          <rPr>
            <sz val="10"/>
            <rFont val="Arial"/>
            <family val="2"/>
          </rPr>
          <t>For retrofit, enter $ 0, For upgrade enter the price for the other Transformers. Compare against traditional Copper K13 Transformer.</t>
        </r>
      </text>
    </comment>
    <comment ref="B41" authorId="1">
      <text>
        <r>
          <rPr>
            <sz val="10"/>
            <rFont val="Arial"/>
            <family val="2"/>
          </rPr>
          <t>Enter the price for Acme Electric C3 Copper K13 Transformers.</t>
        </r>
      </text>
    </comment>
    <comment ref="B15" authorId="1">
      <text>
        <r>
          <rPr>
            <sz val="10"/>
            <rFont val="Arial"/>
            <family val="2"/>
          </rPr>
          <t>What rate per kWh are you paying the utility?</t>
        </r>
      </text>
    </comment>
  </commentList>
</comments>
</file>

<file path=xl/sharedStrings.xml><?xml version="1.0" encoding="utf-8"?>
<sst xmlns="http://schemas.openxmlformats.org/spreadsheetml/2006/main" count="720" uniqueCount="143">
  <si>
    <t>Operating Cost</t>
  </si>
  <si>
    <t>Data Entry</t>
  </si>
  <si>
    <t>Load Power Factor</t>
  </si>
  <si>
    <t>QTY</t>
  </si>
  <si>
    <t>kVA</t>
  </si>
  <si>
    <t>Transformers on Project</t>
  </si>
  <si>
    <t>Full Load kW</t>
  </si>
  <si>
    <t>% Load during normal operating hours</t>
  </si>
  <si>
    <t>% Load outside operating hours</t>
  </si>
  <si>
    <t>Normal operation</t>
  </si>
  <si>
    <t>operating hours</t>
  </si>
  <si>
    <t>Load kW</t>
  </si>
  <si>
    <t>kW Losses in</t>
  </si>
  <si>
    <t>kW Losses outside</t>
  </si>
  <si>
    <t>kWh rate</t>
  </si>
  <si>
    <t>Summary of Environmental Benefits</t>
  </si>
  <si>
    <t>Annual Reduction in Greenhouse Gases</t>
  </si>
  <si>
    <t>tons of CO2</t>
  </si>
  <si>
    <t>kgs of SO2</t>
  </si>
  <si>
    <t>(Per EPA)</t>
  </si>
  <si>
    <t>kgs of NOx</t>
  </si>
  <si>
    <t>Energy Cost Analysis  (calc)</t>
  </si>
  <si>
    <t>Payback on Incremental Cost</t>
  </si>
  <si>
    <t>Estimated Annual Power Quality Savings</t>
  </si>
  <si>
    <t>Other Transformer Linear Efficiency &amp; Loss Multiplier*</t>
  </si>
  <si>
    <t>First Cost</t>
  </si>
  <si>
    <t>Annual</t>
  </si>
  <si>
    <t>Nonlin Loss Mult</t>
  </si>
  <si>
    <t>Traditional Transformers</t>
  </si>
  <si>
    <t>Total Life Cycle Savings</t>
  </si>
  <si>
    <t>Life Cycle Savings and Payback</t>
  </si>
  <si>
    <t>Avoided Cooling Load</t>
  </si>
  <si>
    <t>Life Cycle Operating Cost</t>
  </si>
  <si>
    <t>kWh/year</t>
  </si>
  <si>
    <t>tons (on peak- normal operation)</t>
  </si>
  <si>
    <t>tons (off peak - outside normal hours)</t>
  </si>
  <si>
    <t>Cooling System Performance (kW/ton)</t>
  </si>
  <si>
    <t>(lower losses =&gt; less heat to remove)</t>
  </si>
  <si>
    <t>Annual kWh savings</t>
  </si>
  <si>
    <t>Equipment operating hrs/ day</t>
  </si>
  <si>
    <t>Equipment operating days/yr</t>
  </si>
  <si>
    <t>Demand rate ($/kW/mo)  ex. $10.00</t>
  </si>
  <si>
    <t>30 years</t>
  </si>
  <si>
    <t>Acme C3 Efficiency</t>
  </si>
  <si>
    <t>ANNUAL Energy Savings with Acme C3</t>
  </si>
  <si>
    <t>Acme C3 Transformers</t>
  </si>
  <si>
    <t>50 years</t>
  </si>
  <si>
    <t>Traditional Transformers*</t>
  </si>
  <si>
    <t>Project Name:</t>
  </si>
  <si>
    <t>Date:</t>
  </si>
  <si>
    <t>Years</t>
  </si>
  <si>
    <t>C3 Energy Savings Calculator</t>
  </si>
  <si>
    <t>Efficiency Comparison</t>
  </si>
  <si>
    <t>TP1</t>
  </si>
  <si>
    <t>C3</t>
  </si>
  <si>
    <t>KVA</t>
  </si>
  <si>
    <t xml:space="preserve">      Cost Comparison</t>
  </si>
  <si>
    <t>TP1 CU</t>
  </si>
  <si>
    <t xml:space="preserve"> </t>
  </si>
  <si>
    <t xml:space="preserve">Project Name: </t>
  </si>
  <si>
    <t>Project Summary:</t>
  </si>
  <si>
    <t>KVA Sizes</t>
  </si>
  <si>
    <t>Number of Units</t>
  </si>
  <si>
    <t>15 KVA</t>
  </si>
  <si>
    <t>30 KVA</t>
  </si>
  <si>
    <t>45 KVA</t>
  </si>
  <si>
    <t>75 KVA</t>
  </si>
  <si>
    <t>112.5 KVA</t>
  </si>
  <si>
    <t>150 KVA</t>
  </si>
  <si>
    <t>225 KVA</t>
  </si>
  <si>
    <t>300 KVA</t>
  </si>
  <si>
    <t>500 KVA</t>
  </si>
  <si>
    <t>Input KWhr Rate:</t>
  </si>
  <si>
    <t>30 Year Benefits</t>
  </si>
  <si>
    <t>Reduction in Greenhouse Gases</t>
  </si>
  <si>
    <t xml:space="preserve"> tons of Coal</t>
  </si>
  <si>
    <t>New Construction (TP1 vs C3)</t>
  </si>
  <si>
    <t>Instructions:</t>
  </si>
  <si>
    <t>Step 3: Adjust loading percentage during working and non-working hours as needed</t>
  </si>
  <si>
    <t>How to Use This Calculator</t>
  </si>
  <si>
    <t>Total kVA of Transformers on Project</t>
  </si>
  <si>
    <t>Enter the quantity of transformers in the table</t>
  </si>
  <si>
    <t>Conventional or k-rated Transformer Efficiency</t>
  </si>
  <si>
    <t>For retrofit projects:</t>
  </si>
  <si>
    <t>Typical efficiencies for pre TP1 transformers (varies by manufacturer)</t>
  </si>
  <si>
    <t>15 KVA 93.5%, 30 KVA 94.0%, 45 KVA 95.0%, 75 KVA 95.5%, 112.5 KVA 96.0%, 150 KVA 96.5 %, 225 KVA 97.0%, 300 KVA 97.0%</t>
  </si>
  <si>
    <t>500 KVA 97.5 %</t>
  </si>
  <si>
    <t>For new projects:</t>
  </si>
  <si>
    <t>Typical efficiencies for standard TP1 transformers:</t>
  </si>
  <si>
    <t>15 KVA 97.0 %, 30 KVA 97.5 %, 45 KVA 97.7 %, 75 KVA 98.0 %, 112.5 KVA 98.2 %, 150 KVA 98.3 %, 225 KVA 98.5 %, 300 KVA 98.6 %</t>
  </si>
  <si>
    <t>500 KVA 98.7 %</t>
  </si>
  <si>
    <t>Acme C3 Transformer Efficiency</t>
  </si>
  <si>
    <t xml:space="preserve">Enter the efficiency of Acme C3 transformer </t>
  </si>
  <si>
    <t>15 KVA 97.9 %, 30 KVA 98.3 %, 45 KVA 98.4%, 75 KVA 98.6 %, 112.5 KVA 98.7%, 150 KVA 98.8 %, 225 KVA 99.0%, 300 KVA 99.0%</t>
  </si>
  <si>
    <t>500 KVA 99.1%</t>
  </si>
  <si>
    <t>Load power factor times load kVA gives the load kW  (kW = PF x kVA).  Be sure to use the PF of the load fed from the transformer</t>
  </si>
  <si>
    <t>not at the building entrance. Values range 0.70 to 0.80 for many nonlinear loads. Loads with internal filtering can be over 0.9</t>
  </si>
  <si>
    <t>Nonlinear load Loss Multiplier</t>
  </si>
  <si>
    <t>Conventional transformer losses increase by up to 2.7 times when feeding computer type loads.</t>
  </si>
  <si>
    <t>(IEEE Transactions on Industry Applications, Sept/Oct. ‘96)</t>
  </si>
  <si>
    <t>“Costs and Benefits of Harmonic Current Reduction for Switch-Mode Power Supplies in a Commercial Office Building”</t>
  </si>
  <si>
    <t>Tom Key, PEAC, Jih-Sheng Lai, Oak Ridge National Lab, Lockheed Martin Energy Research</t>
  </si>
  <si>
    <t>The nonlinear load loss multiplier reflects this increase in heat loss, which decreases the net transformer efficiency.</t>
  </si>
  <si>
    <t>Transformer Operating Losses</t>
  </si>
  <si>
    <t xml:space="preserve">Transformer Losses = kW load/net efficiency - kW load.  </t>
  </si>
  <si>
    <t>% load left ON, outside of normal operating hours</t>
  </si>
  <si>
    <t>Typically 50-70% of normal load remains on during off-hours operation, also transformer remains energized 24hrs/day.</t>
  </si>
  <si>
    <t xml:space="preserve">% Additional Cooling </t>
  </si>
  <si>
    <t xml:space="preserve">Unlike most substation transformers that are vented to the exterior, most building distribution transformers </t>
  </si>
  <si>
    <t>are ventilated within the building, and their heat losses therefore add to the cooling load.</t>
  </si>
  <si>
    <t>Since cooling efficiency varies widely and is typically reflected on additional HVAC load, the energy cost to the transformer</t>
  </si>
  <si>
    <t>is expressed as a the equivalent % additional cooling kW required to cool a kW of heat. 30-40% is typical</t>
  </si>
  <si>
    <t>Capital Cost</t>
  </si>
  <si>
    <t xml:space="preserve">Cost of transformers.  Enter dollar figure for transformers under consideration. If the interest is to look at the justification </t>
  </si>
  <si>
    <t>for replacing existing transformers, enter $0 in the conventional transformer cost field.</t>
  </si>
  <si>
    <t xml:space="preserve">Energy Operating Cost </t>
  </si>
  <si>
    <t>Energy OPERATING COST (normal op) = (transformer + cooling) kW losses x kWh rate x hrs/day x days/yr + demand charge</t>
  </si>
  <si>
    <t>Return on Investment (ROI)</t>
  </si>
  <si>
    <t>ROI on Incremental Cost is based on dividing the Incremental Investment in Acme C3 Transformers by the Annual Savings</t>
  </si>
  <si>
    <t>ROI on Total Transformer Cost is based on dividing the Total Transformer Cost by the Annual Savings</t>
  </si>
  <si>
    <t>Environmental Benefits</t>
  </si>
  <si>
    <t xml:space="preserve">Conversion rates from kWh to emission reduction and equivalent benefits are published by the EPA, </t>
  </si>
  <si>
    <t>and reflect environmental benefits derived from reduced emissions associated with reduced power generation.</t>
  </si>
  <si>
    <t>TERMS OF USE</t>
  </si>
  <si>
    <t>Acme Electric has used its best efforts in developing the C3 Calculator with the intent of providing an easy</t>
  </si>
  <si>
    <t>to use and useful calculation tool.  However, data entered and assumptions made may not accurately reflect all variables</t>
  </si>
  <si>
    <t>that apply in a given facility. The results are therefore estimates only and may differ from actual  measurements.</t>
  </si>
  <si>
    <t xml:space="preserve">The user is responsible for evaluating the suitability and accuracy of the C3 Calculator.  </t>
  </si>
  <si>
    <t xml:space="preserve">Acme Electric makes no representations or warranties with respect to the accuracy or completeness of the estimates </t>
  </si>
  <si>
    <t>generated by the C3 Calculator and specifically disclaim any implied warranties of mechantability or fitness for any</t>
  </si>
  <si>
    <t>particular purpose and shall in no event be liable for any loss of profit or any other commercial damage, including, but not</t>
  </si>
  <si>
    <t>limited to special, incidental, consequential or other damages.</t>
  </si>
  <si>
    <t>Toll Free : 1-800-334-5214  or (910) 738-1121</t>
  </si>
  <si>
    <t>Step 1: Input number of transformers in building by KVA on Summary Tab</t>
  </si>
  <si>
    <t>Step 2: Input cents per KWHr rate on Summary Tab (it will update all sheets)</t>
  </si>
  <si>
    <t>Cost KWh/year</t>
  </si>
  <si>
    <t>% Increase per Year for Electricity Cost:</t>
  </si>
  <si>
    <t>Payback based on future cost of Electricity</t>
  </si>
  <si>
    <t>C3 CU</t>
  </si>
  <si>
    <t>Step 6: As Energy costs increase - savings will increase.  Inut percentage that energy is forecasted to increase.</t>
  </si>
  <si>
    <t>Over the past eight years energy costs have increased at a rate of 4.1 % a year.</t>
  </si>
  <si>
    <t>Step 4: Note First Cost is Copper TP1 transformers</t>
  </si>
  <si>
    <t>Step 5: 30 and 50 Year savings are calculated automatically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</si>
</sst>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"/>
    <numFmt numFmtId="173" formatCode="_-&quot;$&quot;* #,##0.0000_-;\-&quot;$&quot;* #,##0.0000_-;_-&quot;$&quot;* &quot;-&quot;??_-;_-@_-"/>
    <numFmt numFmtId="174" formatCode="_-* #,##0.0000_-;\-* #,##0.0000_-;_-* &quot;-&quot;??_-;_-@_-"/>
    <numFmt numFmtId="175" formatCode="_-* #,##0.0_-;\-* #,##0.0_-;_-* &quot;-&quot;??_-;_-@_-"/>
    <numFmt numFmtId="176" formatCode="_-&quot;$&quot;* #,##0_-;\-&quot;$&quot;* #,##0_-;_-&quot;$&quot;* &quot;-&quot;??_-;_-@_-"/>
    <numFmt numFmtId="177" formatCode="0.0"/>
    <numFmt numFmtId="178" formatCode="0.0%"/>
    <numFmt numFmtId="179" formatCode="#,##0.0"/>
    <numFmt numFmtId="180" formatCode="0.000"/>
    <numFmt numFmtId="181" formatCode="_-* #,##0_-;\-* #,##0_-;_-* &quot;-&quot;??_-;_-@_-"/>
    <numFmt numFmtId="182" formatCode="0.0000000"/>
    <numFmt numFmtId="183" formatCode="0.000000"/>
    <numFmt numFmtId="184" formatCode="0.00000"/>
    <numFmt numFmtId="185" formatCode="0.0000"/>
    <numFmt numFmtId="186" formatCode="&quot;$&quot;#,##0.0;\-&quot;$&quot;#,##0.0"/>
    <numFmt numFmtId="187" formatCode="&quot;$&quot;#,##0.000;\-&quot;$&quot;#,##0.000"/>
    <numFmt numFmtId="188" formatCode="#,##0.000"/>
    <numFmt numFmtId="189" formatCode="dd\-mmm\-yy"/>
    <numFmt numFmtId="190" formatCode="&quot;$&quot;#,##0.00"/>
    <numFmt numFmtId="191" formatCode="_-&quot;$&quot;* #,##0.000_-;\-&quot;$&quot;* #,##0.000_-;_-&quot;$&quot;* &quot;-&quot;??_-;_-@_-"/>
    <numFmt numFmtId="192" formatCode="_(* #,##0.000_);_(* \(#,##0.000\);_(* &quot;-&quot;???_);_(@_)"/>
    <numFmt numFmtId="193" formatCode="_-* #,##0.000_-;\-* #,##0.000_-;_-* &quot;-&quot;??_-;_-@_-"/>
    <numFmt numFmtId="194" formatCode="_-* #,##0.00000_-;\-* #,##0.00000_-;_-* &quot;-&quot;??_-;_-@_-"/>
    <numFmt numFmtId="195" formatCode="_-&quot;$&quot;* #,##0.0_-;\-&quot;$&quot;* #,##0.0_-;_-&quot;$&quot;* &quot;-&quot;??_-;_-@_-"/>
    <numFmt numFmtId="196" formatCode="&quot;$&quot;#,##0.000_);[Red]\(&quot;$&quot;#,##0.000\)"/>
    <numFmt numFmtId="197" formatCode="&quot;$&quot;#,##0.0_);[Red]\(&quot;$&quot;#,##0.0\)"/>
    <numFmt numFmtId="198" formatCode="&quot;$&quot;#,##0.0000"/>
    <numFmt numFmtId="199" formatCode="&quot;$&quot;#,##0.00000"/>
    <numFmt numFmtId="200" formatCode="0.00000000"/>
    <numFmt numFmtId="201" formatCode="[$-409]dddd\,\ mmmm\ dd\,\ yyyy"/>
    <numFmt numFmtId="202" formatCode="m/d/yy;@"/>
    <numFmt numFmtId="203" formatCode="&quot;$&quot;#,##0.000"/>
    <numFmt numFmtId="204" formatCode="_(&quot;$&quot;* #,##0.000_);_(&quot;$&quot;* \(#,##0.000\);_(&quot;$&quot;* &quot;-&quot;???_);_(@_)"/>
  </numFmts>
  <fonts count="82">
    <font>
      <sz val="10"/>
      <name val="Arial"/>
      <family val="0"/>
    </font>
    <font>
      <b/>
      <sz val="8"/>
      <name val="Tahoma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24"/>
      <color indexed="10"/>
      <name val="Helvetica"/>
      <family val="2"/>
    </font>
    <font>
      <sz val="10"/>
      <name val="Helvetica"/>
      <family val="2"/>
    </font>
    <font>
      <b/>
      <sz val="9"/>
      <name val="Helvetica"/>
      <family val="2"/>
    </font>
    <font>
      <sz val="11"/>
      <color indexed="8"/>
      <name val="Helvetica"/>
      <family val="2"/>
    </font>
    <font>
      <b/>
      <sz val="11"/>
      <color indexed="9"/>
      <name val="Helvetica"/>
      <family val="2"/>
    </font>
    <font>
      <b/>
      <i/>
      <sz val="12"/>
      <color indexed="10"/>
      <name val="Helvetica"/>
      <family val="2"/>
    </font>
    <font>
      <b/>
      <sz val="10"/>
      <name val="Helvetica"/>
      <family val="2"/>
    </font>
    <font>
      <sz val="10"/>
      <color indexed="9"/>
      <name val="Helvetica"/>
      <family val="2"/>
    </font>
    <font>
      <sz val="11"/>
      <color indexed="9"/>
      <name val="Helvetica"/>
      <family val="2"/>
    </font>
    <font>
      <b/>
      <sz val="10"/>
      <color indexed="9"/>
      <name val="Helvetica"/>
      <family val="2"/>
    </font>
    <font>
      <sz val="9"/>
      <color indexed="9"/>
      <name val="Helvetica"/>
      <family val="2"/>
    </font>
    <font>
      <sz val="11"/>
      <name val="Helvetica"/>
      <family val="2"/>
    </font>
    <font>
      <b/>
      <i/>
      <sz val="9"/>
      <name val="Helvetica"/>
      <family val="2"/>
    </font>
    <font>
      <b/>
      <sz val="11"/>
      <color indexed="8"/>
      <name val="Helvetica"/>
      <family val="2"/>
    </font>
    <font>
      <sz val="10"/>
      <color indexed="10"/>
      <name val="Helvetica"/>
      <family val="2"/>
    </font>
    <font>
      <b/>
      <i/>
      <sz val="11"/>
      <color indexed="9"/>
      <name val="Helvetica"/>
      <family val="2"/>
    </font>
    <font>
      <b/>
      <i/>
      <sz val="9"/>
      <color indexed="9"/>
      <name val="Helvetica"/>
      <family val="2"/>
    </font>
    <font>
      <b/>
      <i/>
      <sz val="10"/>
      <color indexed="9"/>
      <name val="Helvetica"/>
      <family val="2"/>
    </font>
    <font>
      <b/>
      <i/>
      <sz val="11"/>
      <color indexed="10"/>
      <name val="Helvetica"/>
      <family val="2"/>
    </font>
    <font>
      <b/>
      <sz val="12"/>
      <name val="Helvetica"/>
      <family val="2"/>
    </font>
    <font>
      <b/>
      <sz val="11"/>
      <name val="Helvetica"/>
      <family val="2"/>
    </font>
    <font>
      <b/>
      <i/>
      <sz val="10"/>
      <name val="Helvetica"/>
      <family val="2"/>
    </font>
    <font>
      <b/>
      <i/>
      <sz val="9"/>
      <color indexed="10"/>
      <name val="Helvetica"/>
      <family val="2"/>
    </font>
    <font>
      <b/>
      <sz val="22"/>
      <name val="Helvetica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color indexed="9"/>
      <name val="Helvetica"/>
      <family val="2"/>
    </font>
    <font>
      <i/>
      <sz val="10"/>
      <color indexed="9"/>
      <name val="Helvetica"/>
      <family val="2"/>
    </font>
    <font>
      <b/>
      <u val="single"/>
      <sz val="9"/>
      <name val="Helvetica"/>
      <family val="2"/>
    </font>
    <font>
      <sz val="9"/>
      <name val="Helvetica"/>
      <family val="2"/>
    </font>
    <font>
      <b/>
      <sz val="9"/>
      <color indexed="9"/>
      <name val="Helvetica"/>
      <family val="2"/>
    </font>
    <font>
      <b/>
      <sz val="8"/>
      <color indexed="9"/>
      <name val="Helvetic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Helvetica"/>
      <family val="2"/>
    </font>
    <font>
      <sz val="10"/>
      <color rgb="FFFF0000"/>
      <name val="Helvetica"/>
      <family val="2"/>
    </font>
    <font>
      <b/>
      <sz val="11"/>
      <color theme="0"/>
      <name val="Helvetica"/>
      <family val="2"/>
    </font>
    <font>
      <sz val="10"/>
      <color theme="0"/>
      <name val="Helvetica"/>
      <family val="2"/>
    </font>
    <font>
      <sz val="11"/>
      <color theme="0"/>
      <name val="Helvetica"/>
      <family val="2"/>
    </font>
    <font>
      <b/>
      <sz val="10"/>
      <color theme="0"/>
      <name val="Arial"/>
      <family val="2"/>
    </font>
    <font>
      <b/>
      <i/>
      <sz val="12"/>
      <color rgb="FFFF0000"/>
      <name val="Helvetica"/>
      <family val="2"/>
    </font>
    <font>
      <sz val="10"/>
      <color theme="0"/>
      <name val="Arial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0" fontId="8" fillId="33" borderId="0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33" borderId="0" xfId="0" applyFont="1" applyFill="1" applyAlignment="1">
      <alignment/>
    </xf>
    <xf numFmtId="0" fontId="10" fillId="0" borderId="0" xfId="0" applyFont="1" applyAlignment="1" applyProtection="1">
      <alignment/>
      <protection hidden="1"/>
    </xf>
    <xf numFmtId="177" fontId="6" fillId="0" borderId="0" xfId="0" applyNumberFormat="1" applyFont="1" applyBorder="1" applyAlignment="1" applyProtection="1">
      <alignment/>
      <protection hidden="1"/>
    </xf>
    <xf numFmtId="0" fontId="12" fillId="34" borderId="0" xfId="0" applyFont="1" applyFill="1" applyAlignment="1" applyProtection="1">
      <alignment horizontal="left"/>
      <protection hidden="1"/>
    </xf>
    <xf numFmtId="9" fontId="13" fillId="35" borderId="0" xfId="0" applyNumberFormat="1" applyFont="1" applyFill="1" applyAlignment="1" applyProtection="1">
      <alignment/>
      <protection hidden="1" locked="0"/>
    </xf>
    <xf numFmtId="0" fontId="9" fillId="0" borderId="0" xfId="0" applyFont="1" applyFill="1" applyAlignment="1" applyProtection="1">
      <alignment/>
      <protection/>
    </xf>
    <xf numFmtId="4" fontId="11" fillId="0" borderId="10" xfId="0" applyNumberFormat="1" applyFont="1" applyBorder="1" applyAlignment="1" applyProtection="1">
      <alignment horizontal="center"/>
      <protection hidden="1"/>
    </xf>
    <xf numFmtId="0" fontId="11" fillId="0" borderId="10" xfId="0" applyFont="1" applyBorder="1" applyAlignment="1" applyProtection="1">
      <alignment horizontal="center"/>
      <protection hidden="1"/>
    </xf>
    <xf numFmtId="0" fontId="12" fillId="34" borderId="0" xfId="0" applyFont="1" applyFill="1" applyAlignment="1" applyProtection="1">
      <alignment/>
      <protection hidden="1"/>
    </xf>
    <xf numFmtId="9" fontId="13" fillId="35" borderId="0" xfId="59" applyFont="1" applyFill="1" applyAlignment="1" applyProtection="1">
      <alignment horizontal="right"/>
      <protection hidden="1" locked="0"/>
    </xf>
    <xf numFmtId="0" fontId="12" fillId="0" borderId="0" xfId="0" applyFont="1" applyAlignment="1" applyProtection="1">
      <alignment horizontal="center"/>
      <protection hidden="1"/>
    </xf>
    <xf numFmtId="1" fontId="6" fillId="0" borderId="10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13" fillId="35" borderId="0" xfId="0" applyFont="1" applyFill="1" applyAlignment="1" applyProtection="1">
      <alignment/>
      <protection hidden="1" locked="0"/>
    </xf>
    <xf numFmtId="1" fontId="13" fillId="0" borderId="0" xfId="0" applyNumberFormat="1" applyFont="1" applyAlignment="1" applyProtection="1">
      <alignment horizontal="center"/>
      <protection hidden="1"/>
    </xf>
    <xf numFmtId="0" fontId="12" fillId="0" borderId="0" xfId="0" applyFont="1" applyAlignment="1" applyProtection="1">
      <alignment horizontal="left"/>
      <protection locked="0"/>
    </xf>
    <xf numFmtId="191" fontId="13" fillId="35" borderId="0" xfId="44" applyNumberFormat="1" applyFont="1" applyFill="1" applyAlignment="1" applyProtection="1">
      <alignment/>
      <protection hidden="1" locked="0"/>
    </xf>
    <xf numFmtId="0" fontId="12" fillId="0" borderId="0" xfId="0" applyFont="1" applyAlignment="1" applyProtection="1">
      <alignment horizontal="center"/>
      <protection hidden="1" locked="0"/>
    </xf>
    <xf numFmtId="166" fontId="13" fillId="35" borderId="0" xfId="44" applyNumberFormat="1" applyFont="1" applyFill="1" applyAlignment="1" applyProtection="1">
      <alignment/>
      <protection hidden="1" locked="0"/>
    </xf>
    <xf numFmtId="2" fontId="13" fillId="35" borderId="0" xfId="0" applyNumberFormat="1" applyFont="1" applyFill="1" applyAlignment="1" applyProtection="1">
      <alignment/>
      <protection hidden="1" locked="0"/>
    </xf>
    <xf numFmtId="171" fontId="13" fillId="35" borderId="0" xfId="42" applyFont="1" applyFill="1" applyAlignment="1" applyProtection="1">
      <alignment horizontal="right"/>
      <protection hidden="1" locked="0"/>
    </xf>
    <xf numFmtId="9" fontId="6" fillId="0" borderId="0" xfId="59" applyFont="1" applyBorder="1" applyAlignment="1" applyProtection="1">
      <alignment horizontal="left"/>
      <protection hidden="1" locked="0"/>
    </xf>
    <xf numFmtId="0" fontId="14" fillId="36" borderId="0" xfId="0" applyFont="1" applyFill="1" applyAlignment="1">
      <alignment/>
    </xf>
    <xf numFmtId="0" fontId="15" fillId="34" borderId="0" xfId="0" applyFont="1" applyFill="1" applyAlignment="1" applyProtection="1">
      <alignment/>
      <protection hidden="1"/>
    </xf>
    <xf numFmtId="178" fontId="13" fillId="35" borderId="0" xfId="59" applyNumberFormat="1" applyFont="1" applyFill="1" applyAlignment="1" applyProtection="1">
      <alignment/>
      <protection hidden="1" locked="0"/>
    </xf>
    <xf numFmtId="177" fontId="13" fillId="35" borderId="0" xfId="0" applyNumberFormat="1" applyFont="1" applyFill="1" applyAlignment="1" applyProtection="1">
      <alignment horizontal="center"/>
      <protection hidden="1" locked="0"/>
    </xf>
    <xf numFmtId="1" fontId="6" fillId="0" borderId="11" xfId="0" applyNumberFormat="1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/>
      <protection locked="0"/>
    </xf>
    <xf numFmtId="1" fontId="6" fillId="0" borderId="12" xfId="0" applyNumberFormat="1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hidden="1"/>
    </xf>
    <xf numFmtId="0" fontId="6" fillId="0" borderId="0" xfId="0" applyFont="1" applyBorder="1" applyAlignment="1" applyProtection="1">
      <alignment horizontal="center"/>
      <protection locked="0"/>
    </xf>
    <xf numFmtId="9" fontId="16" fillId="0" borderId="0" xfId="59" applyFont="1" applyBorder="1" applyAlignment="1" applyProtection="1">
      <alignment horizontal="right"/>
      <protection hidden="1"/>
    </xf>
    <xf numFmtId="9" fontId="6" fillId="0" borderId="0" xfId="59" applyFont="1" applyBorder="1" applyAlignment="1" applyProtection="1">
      <alignment horizontal="right"/>
      <protection hidden="1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 applyProtection="1">
      <alignment horizontal="center"/>
      <protection locked="0"/>
    </xf>
    <xf numFmtId="176" fontId="14" fillId="34" borderId="11" xfId="44" applyNumberFormat="1" applyFont="1" applyFill="1" applyBorder="1" applyAlignment="1" applyProtection="1">
      <alignment horizontal="center"/>
      <protection hidden="1"/>
    </xf>
    <xf numFmtId="0" fontId="14" fillId="36" borderId="0" xfId="0" applyFont="1" applyFill="1" applyAlignment="1" applyProtection="1">
      <alignment horizontal="center"/>
      <protection hidden="1"/>
    </xf>
    <xf numFmtId="0" fontId="14" fillId="34" borderId="13" xfId="0" applyFont="1" applyFill="1" applyBorder="1" applyAlignment="1" applyProtection="1">
      <alignment horizontal="center"/>
      <protection hidden="1"/>
    </xf>
    <xf numFmtId="172" fontId="16" fillId="0" borderId="13" xfId="0" applyNumberFormat="1" applyFont="1" applyBorder="1" applyAlignment="1" applyProtection="1">
      <alignment horizontal="center"/>
      <protection/>
    </xf>
    <xf numFmtId="177" fontId="6" fillId="0" borderId="0" xfId="0" applyNumberFormat="1" applyFont="1" applyBorder="1" applyAlignment="1" applyProtection="1">
      <alignment horizontal="center"/>
      <protection/>
    </xf>
    <xf numFmtId="172" fontId="16" fillId="0" borderId="14" xfId="0" applyNumberFormat="1" applyFont="1" applyBorder="1" applyAlignment="1" applyProtection="1">
      <alignment horizontal="center"/>
      <protection/>
    </xf>
    <xf numFmtId="177" fontId="6" fillId="0" borderId="15" xfId="0" applyNumberFormat="1" applyFont="1" applyBorder="1" applyAlignment="1" applyProtection="1">
      <alignment horizontal="center"/>
      <protection/>
    </xf>
    <xf numFmtId="0" fontId="17" fillId="34" borderId="0" xfId="0" applyFont="1" applyFill="1" applyAlignment="1" applyProtection="1">
      <alignment/>
      <protection hidden="1"/>
    </xf>
    <xf numFmtId="172" fontId="18" fillId="33" borderId="10" xfId="44" applyNumberFormat="1" applyFont="1" applyFill="1" applyBorder="1" applyAlignment="1" applyProtection="1">
      <alignment horizontal="center"/>
      <protection hidden="1"/>
    </xf>
    <xf numFmtId="172" fontId="6" fillId="0" borderId="0" xfId="0" applyNumberFormat="1" applyFont="1" applyAlignment="1">
      <alignment/>
    </xf>
    <xf numFmtId="0" fontId="19" fillId="0" borderId="0" xfId="0" applyFont="1" applyAlignment="1" applyProtection="1">
      <alignment/>
      <protection hidden="1"/>
    </xf>
    <xf numFmtId="43" fontId="19" fillId="0" borderId="0" xfId="0" applyNumberFormat="1" applyFont="1" applyAlignment="1" applyProtection="1">
      <alignment/>
      <protection hidden="1"/>
    </xf>
    <xf numFmtId="43" fontId="19" fillId="0" borderId="0" xfId="0" applyNumberFormat="1" applyFont="1" applyAlignment="1">
      <alignment/>
    </xf>
    <xf numFmtId="0" fontId="19" fillId="0" borderId="0" xfId="0" applyFont="1" applyAlignment="1">
      <alignment/>
    </xf>
    <xf numFmtId="0" fontId="10" fillId="0" borderId="0" xfId="0" applyFont="1" applyBorder="1" applyAlignment="1" applyProtection="1">
      <alignment/>
      <protection hidden="1"/>
    </xf>
    <xf numFmtId="3" fontId="11" fillId="0" borderId="10" xfId="0" applyNumberFormat="1" applyFont="1" applyBorder="1" applyAlignment="1">
      <alignment horizontal="right"/>
    </xf>
    <xf numFmtId="0" fontId="6" fillId="0" borderId="0" xfId="0" applyFont="1" applyBorder="1" applyAlignment="1" applyProtection="1">
      <alignment/>
      <protection hidden="1"/>
    </xf>
    <xf numFmtId="43" fontId="19" fillId="0" borderId="0" xfId="0" applyNumberFormat="1" applyFont="1" applyBorder="1" applyAlignment="1" applyProtection="1">
      <alignment/>
      <protection hidden="1"/>
    </xf>
    <xf numFmtId="0" fontId="20" fillId="0" borderId="0" xfId="0" applyFont="1" applyFill="1" applyBorder="1" applyAlignment="1" applyProtection="1">
      <alignment/>
      <protection hidden="1"/>
    </xf>
    <xf numFmtId="177" fontId="14" fillId="0" borderId="0" xfId="0" applyNumberFormat="1" applyFont="1" applyFill="1" applyAlignment="1">
      <alignment/>
    </xf>
    <xf numFmtId="0" fontId="12" fillId="0" borderId="0" xfId="0" applyFont="1" applyFill="1" applyBorder="1" applyAlignment="1" applyProtection="1">
      <alignment/>
      <protection hidden="1"/>
    </xf>
    <xf numFmtId="0" fontId="12" fillId="0" borderId="0" xfId="0" applyFont="1" applyBorder="1" applyAlignment="1" applyProtection="1">
      <alignment/>
      <protection hidden="1"/>
    </xf>
    <xf numFmtId="0" fontId="21" fillId="0" borderId="0" xfId="0" applyFont="1" applyFill="1" applyBorder="1" applyAlignment="1" applyProtection="1">
      <alignment/>
      <protection hidden="1"/>
    </xf>
    <xf numFmtId="177" fontId="14" fillId="0" borderId="0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 applyProtection="1">
      <alignment/>
      <protection hidden="1"/>
    </xf>
    <xf numFmtId="0" fontId="12" fillId="0" borderId="0" xfId="0" applyFont="1" applyAlignment="1" applyProtection="1">
      <alignment/>
      <protection hidden="1"/>
    </xf>
    <xf numFmtId="0" fontId="22" fillId="0" borderId="0" xfId="0" applyFont="1" applyFill="1" applyAlignment="1" applyProtection="1">
      <alignment/>
      <protection hidden="1"/>
    </xf>
    <xf numFmtId="172" fontId="13" fillId="0" borderId="0" xfId="44" applyNumberFormat="1" applyFont="1" applyFill="1" applyAlignment="1" applyProtection="1">
      <alignment horizontal="center"/>
      <protection hidden="1" locked="0"/>
    </xf>
    <xf numFmtId="0" fontId="23" fillId="0" borderId="0" xfId="0" applyFont="1" applyFill="1" applyBorder="1" applyAlignment="1">
      <alignment horizontal="left"/>
    </xf>
    <xf numFmtId="172" fontId="18" fillId="33" borderId="0" xfId="44" applyNumberFormat="1" applyFont="1" applyFill="1" applyBorder="1" applyAlignment="1" applyProtection="1">
      <alignment horizontal="center"/>
      <protection hidden="1"/>
    </xf>
    <xf numFmtId="0" fontId="6" fillId="0" borderId="0" xfId="0" applyFont="1" applyFill="1" applyAlignment="1">
      <alignment/>
    </xf>
    <xf numFmtId="0" fontId="10" fillId="0" borderId="15" xfId="0" applyFont="1" applyFill="1" applyBorder="1" applyAlignment="1">
      <alignment horizontal="left"/>
    </xf>
    <xf numFmtId="0" fontId="25" fillId="0" borderId="16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12" fillId="34" borderId="17" xfId="0" applyFont="1" applyFill="1" applyBorder="1" applyAlignment="1" applyProtection="1">
      <alignment horizontal="left"/>
      <protection hidden="1"/>
    </xf>
    <xf numFmtId="172" fontId="13" fillId="35" borderId="0" xfId="44" applyNumberFormat="1" applyFont="1" applyFill="1" applyAlignment="1" applyProtection="1">
      <alignment horizontal="center"/>
      <protection hidden="1" locked="0"/>
    </xf>
    <xf numFmtId="172" fontId="16" fillId="0" borderId="10" xfId="0" applyNumberFormat="1" applyFont="1" applyFill="1" applyBorder="1" applyAlignment="1">
      <alignment horizontal="center"/>
    </xf>
    <xf numFmtId="172" fontId="16" fillId="0" borderId="11" xfId="0" applyNumberFormat="1" applyFont="1" applyFill="1" applyBorder="1" applyAlignment="1">
      <alignment horizontal="center"/>
    </xf>
    <xf numFmtId="190" fontId="6" fillId="0" borderId="0" xfId="0" applyNumberFormat="1" applyFont="1" applyAlignment="1">
      <alignment/>
    </xf>
    <xf numFmtId="0" fontId="12" fillId="34" borderId="18" xfId="0" applyFont="1" applyFill="1" applyBorder="1" applyAlignment="1" applyProtection="1">
      <alignment horizontal="left"/>
      <protection hidden="1"/>
    </xf>
    <xf numFmtId="5" fontId="6" fillId="0" borderId="19" xfId="0" applyNumberFormat="1" applyFont="1" applyBorder="1" applyAlignment="1" applyProtection="1">
      <alignment horizontal="center"/>
      <protection/>
    </xf>
    <xf numFmtId="172" fontId="25" fillId="0" borderId="19" xfId="0" applyNumberFormat="1" applyFont="1" applyBorder="1" applyAlignment="1" applyProtection="1">
      <alignment horizontal="center"/>
      <protection/>
    </xf>
    <xf numFmtId="172" fontId="25" fillId="0" borderId="20" xfId="0" applyNumberFormat="1" applyFont="1" applyBorder="1" applyAlignment="1" applyProtection="1">
      <alignment horizontal="center"/>
      <protection/>
    </xf>
    <xf numFmtId="2" fontId="14" fillId="34" borderId="14" xfId="0" applyNumberFormat="1" applyFont="1" applyFill="1" applyBorder="1" applyAlignment="1" applyProtection="1">
      <alignment horizontal="center"/>
      <protection/>
    </xf>
    <xf numFmtId="0" fontId="14" fillId="34" borderId="21" xfId="0" applyFont="1" applyFill="1" applyBorder="1" applyAlignment="1" applyProtection="1">
      <alignment horizontal="left"/>
      <protection hidden="1"/>
    </xf>
    <xf numFmtId="0" fontId="12" fillId="0" borderId="0" xfId="0" applyFont="1" applyFill="1" applyBorder="1" applyAlignment="1" applyProtection="1">
      <alignment horizontal="left"/>
      <protection hidden="1"/>
    </xf>
    <xf numFmtId="2" fontId="14" fillId="0" borderId="0" xfId="0" applyNumberFormat="1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left"/>
      <protection hidden="1"/>
    </xf>
    <xf numFmtId="0" fontId="26" fillId="0" borderId="0" xfId="0" applyFont="1" applyAlignment="1" applyProtection="1">
      <alignment/>
      <protection hidden="1"/>
    </xf>
    <xf numFmtId="5" fontId="16" fillId="0" borderId="0" xfId="44" applyNumberFormat="1" applyFont="1" applyBorder="1" applyAlignment="1">
      <alignment horizontal="center"/>
    </xf>
    <xf numFmtId="0" fontId="24" fillId="0" borderId="0" xfId="0" applyFont="1" applyFill="1" applyBorder="1" applyAlignment="1">
      <alignment horizontal="left"/>
    </xf>
    <xf numFmtId="0" fontId="24" fillId="0" borderId="15" xfId="0" applyFont="1" applyFill="1" applyBorder="1" applyAlignment="1">
      <alignment horizontal="left"/>
    </xf>
    <xf numFmtId="0" fontId="14" fillId="37" borderId="17" xfId="0" applyFont="1" applyFill="1" applyBorder="1" applyAlignment="1">
      <alignment/>
    </xf>
    <xf numFmtId="181" fontId="14" fillId="37" borderId="17" xfId="0" applyNumberFormat="1" applyFont="1" applyFill="1" applyBorder="1" applyAlignment="1" applyProtection="1">
      <alignment/>
      <protection/>
    </xf>
    <xf numFmtId="174" fontId="14" fillId="37" borderId="0" xfId="0" applyNumberFormat="1" applyFont="1" applyFill="1" applyBorder="1" applyAlignment="1">
      <alignment/>
    </xf>
    <xf numFmtId="181" fontId="14" fillId="37" borderId="0" xfId="0" applyNumberFormat="1" applyFont="1" applyFill="1" applyBorder="1" applyAlignment="1" applyProtection="1">
      <alignment/>
      <protection/>
    </xf>
    <xf numFmtId="174" fontId="14" fillId="37" borderId="21" xfId="0" applyNumberFormat="1" applyFont="1" applyFill="1" applyBorder="1" applyAlignment="1">
      <alignment/>
    </xf>
    <xf numFmtId="0" fontId="14" fillId="37" borderId="14" xfId="0" applyFont="1" applyFill="1" applyBorder="1" applyAlignment="1">
      <alignment/>
    </xf>
    <xf numFmtId="181" fontId="14" fillId="37" borderId="22" xfId="44" applyNumberFormat="1" applyFont="1" applyFill="1" applyBorder="1" applyAlignment="1" applyProtection="1">
      <alignment/>
      <protection/>
    </xf>
    <xf numFmtId="0" fontId="14" fillId="37" borderId="15" xfId="0" applyFont="1" applyFill="1" applyBorder="1" applyAlignment="1">
      <alignment/>
    </xf>
    <xf numFmtId="181" fontId="14" fillId="37" borderId="15" xfId="0" applyNumberFormat="1" applyFont="1" applyFill="1" applyBorder="1" applyAlignment="1" applyProtection="1">
      <alignment/>
      <protection/>
    </xf>
    <xf numFmtId="174" fontId="14" fillId="37" borderId="23" xfId="0" applyNumberFormat="1" applyFont="1" applyFill="1" applyBorder="1" applyAlignment="1">
      <alignment/>
    </xf>
    <xf numFmtId="0" fontId="27" fillId="0" borderId="0" xfId="0" applyFont="1" applyAlignment="1" applyProtection="1">
      <alignment/>
      <protection hidden="1"/>
    </xf>
    <xf numFmtId="0" fontId="28" fillId="0" borderId="0" xfId="0" applyFont="1" applyFill="1" applyAlignment="1">
      <alignment/>
    </xf>
    <xf numFmtId="0" fontId="7" fillId="0" borderId="0" xfId="0" applyFont="1" applyFill="1" applyBorder="1" applyAlignment="1">
      <alignment horizontal="left"/>
    </xf>
    <xf numFmtId="0" fontId="9" fillId="0" borderId="0" xfId="0" applyFont="1" applyFill="1" applyBorder="1" applyAlignment="1" applyProtection="1">
      <alignment horizontal="left"/>
      <protection locked="0"/>
    </xf>
    <xf numFmtId="0" fontId="25" fillId="0" borderId="0" xfId="0" applyFont="1" applyFill="1" applyBorder="1" applyAlignment="1" applyProtection="1">
      <alignment horizontal="left"/>
      <protection locked="0"/>
    </xf>
    <xf numFmtId="202" fontId="25" fillId="0" borderId="0" xfId="0" applyNumberFormat="1" applyFont="1" applyFill="1" applyBorder="1" applyAlignment="1" applyProtection="1">
      <alignment horizontal="left"/>
      <protection locked="0"/>
    </xf>
    <xf numFmtId="0" fontId="29" fillId="0" borderId="0" xfId="0" applyFont="1" applyAlignment="1">
      <alignment/>
    </xf>
    <xf numFmtId="0" fontId="6" fillId="0" borderId="24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6" fillId="0" borderId="16" xfId="0" applyFont="1" applyBorder="1" applyAlignment="1" applyProtection="1">
      <alignment horizontal="center"/>
      <protection locked="0"/>
    </xf>
    <xf numFmtId="178" fontId="6" fillId="0" borderId="10" xfId="0" applyNumberFormat="1" applyFont="1" applyBorder="1" applyAlignment="1">
      <alignment horizontal="center"/>
    </xf>
    <xf numFmtId="1" fontId="6" fillId="0" borderId="16" xfId="0" applyNumberFormat="1" applyFont="1" applyBorder="1" applyAlignment="1" applyProtection="1">
      <alignment horizontal="center"/>
      <protection locked="0"/>
    </xf>
    <xf numFmtId="0" fontId="11" fillId="0" borderId="16" xfId="0" applyFont="1" applyBorder="1" applyAlignment="1">
      <alignment horizontal="left"/>
    </xf>
    <xf numFmtId="0" fontId="16" fillId="0" borderId="10" xfId="0" applyFont="1" applyFill="1" applyBorder="1" applyAlignment="1">
      <alignment horizontal="center"/>
    </xf>
    <xf numFmtId="0" fontId="11" fillId="0" borderId="14" xfId="0" applyFont="1" applyBorder="1" applyAlignment="1">
      <alignment horizontal="center"/>
    </xf>
    <xf numFmtId="172" fontId="6" fillId="0" borderId="10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29" fillId="0" borderId="0" xfId="0" applyFont="1" applyAlignment="1">
      <alignment horizontal="center" vertical="center"/>
    </xf>
    <xf numFmtId="2" fontId="6" fillId="0" borderId="10" xfId="0" applyNumberFormat="1" applyFont="1" applyBorder="1" applyAlignment="1" applyProtection="1">
      <alignment horizontal="center"/>
      <protection/>
    </xf>
    <xf numFmtId="172" fontId="6" fillId="0" borderId="10" xfId="0" applyNumberFormat="1" applyFont="1" applyBorder="1" applyAlignment="1" applyProtection="1">
      <alignment horizontal="center"/>
      <protection/>
    </xf>
    <xf numFmtId="4" fontId="6" fillId="0" borderId="10" xfId="0" applyNumberFormat="1" applyFont="1" applyBorder="1" applyAlignment="1" applyProtection="1">
      <alignment horizontal="center"/>
      <protection/>
    </xf>
    <xf numFmtId="3" fontId="73" fillId="38" borderId="10" xfId="0" applyNumberFormat="1" applyFont="1" applyFill="1" applyBorder="1" applyAlignment="1" applyProtection="1">
      <alignment/>
      <protection/>
    </xf>
    <xf numFmtId="1" fontId="6" fillId="0" borderId="10" xfId="0" applyNumberFormat="1" applyFont="1" applyBorder="1" applyAlignment="1" applyProtection="1">
      <alignment horizontal="center"/>
      <protection/>
    </xf>
    <xf numFmtId="9" fontId="74" fillId="0" borderId="0" xfId="59" applyFont="1" applyBorder="1" applyAlignment="1" applyProtection="1">
      <alignment horizontal="left"/>
      <protection hidden="1" locked="0"/>
    </xf>
    <xf numFmtId="0" fontId="75" fillId="0" borderId="0" xfId="0" applyFont="1" applyFill="1" applyAlignment="1" applyProtection="1">
      <alignment horizontal="center"/>
      <protection/>
    </xf>
    <xf numFmtId="0" fontId="76" fillId="0" borderId="0" xfId="0" applyFont="1" applyAlignment="1" applyProtection="1">
      <alignment horizontal="center"/>
      <protection hidden="1"/>
    </xf>
    <xf numFmtId="1" fontId="77" fillId="0" borderId="0" xfId="0" applyNumberFormat="1" applyFont="1" applyAlignment="1" applyProtection="1">
      <alignment horizontal="center"/>
      <protection hidden="1"/>
    </xf>
    <xf numFmtId="0" fontId="76" fillId="0" borderId="0" xfId="0" applyFont="1" applyAlignment="1" applyProtection="1">
      <alignment horizontal="left"/>
      <protection locked="0"/>
    </xf>
    <xf numFmtId="0" fontId="76" fillId="0" borderId="0" xfId="0" applyFont="1" applyAlignment="1" applyProtection="1">
      <alignment horizontal="center"/>
      <protection hidden="1" locked="0"/>
    </xf>
    <xf numFmtId="204" fontId="29" fillId="0" borderId="0" xfId="0" applyNumberFormat="1" applyFont="1" applyAlignment="1">
      <alignment/>
    </xf>
    <xf numFmtId="0" fontId="14" fillId="38" borderId="14" xfId="0" applyFont="1" applyFill="1" applyBorder="1" applyAlignment="1">
      <alignment/>
    </xf>
    <xf numFmtId="0" fontId="14" fillId="38" borderId="10" xfId="0" applyFont="1" applyFill="1" applyBorder="1" applyAlignment="1">
      <alignment/>
    </xf>
    <xf numFmtId="174" fontId="14" fillId="38" borderId="10" xfId="0" applyNumberFormat="1" applyFont="1" applyFill="1" applyBorder="1" applyAlignment="1">
      <alignment/>
    </xf>
    <xf numFmtId="181" fontId="14" fillId="38" borderId="10" xfId="0" applyNumberFormat="1" applyFont="1" applyFill="1" applyBorder="1" applyAlignment="1" applyProtection="1">
      <alignment/>
      <protection/>
    </xf>
    <xf numFmtId="3" fontId="78" fillId="38" borderId="10" xfId="0" applyNumberFormat="1" applyFont="1" applyFill="1" applyBorder="1" applyAlignment="1">
      <alignment/>
    </xf>
    <xf numFmtId="0" fontId="14" fillId="38" borderId="11" xfId="0" applyFont="1" applyFill="1" applyBorder="1" applyAlignment="1">
      <alignment/>
    </xf>
    <xf numFmtId="0" fontId="78" fillId="38" borderId="11" xfId="0" applyFont="1" applyFill="1" applyBorder="1" applyAlignment="1">
      <alignment/>
    </xf>
    <xf numFmtId="0" fontId="78" fillId="38" borderId="14" xfId="0" applyFont="1" applyFill="1" applyBorder="1" applyAlignment="1">
      <alignment/>
    </xf>
    <xf numFmtId="0" fontId="79" fillId="39" borderId="0" xfId="0" applyFont="1" applyFill="1" applyAlignment="1">
      <alignment/>
    </xf>
    <xf numFmtId="0" fontId="24" fillId="0" borderId="0" xfId="0" applyFont="1" applyFill="1" applyAlignment="1">
      <alignment/>
    </xf>
    <xf numFmtId="0" fontId="31" fillId="40" borderId="0" xfId="0" applyFont="1" applyFill="1" applyAlignment="1">
      <alignment/>
    </xf>
    <xf numFmtId="0" fontId="6" fillId="40" borderId="0" xfId="0" applyFont="1" applyFill="1" applyAlignment="1">
      <alignment/>
    </xf>
    <xf numFmtId="0" fontId="32" fillId="40" borderId="0" xfId="0" applyFont="1" applyFill="1" applyAlignment="1" applyProtection="1">
      <alignment horizontal="right"/>
      <protection hidden="1"/>
    </xf>
    <xf numFmtId="0" fontId="33" fillId="0" borderId="0" xfId="0" applyFont="1" applyAlignment="1" applyProtection="1">
      <alignment/>
      <protection hidden="1"/>
    </xf>
    <xf numFmtId="0" fontId="34" fillId="0" borderId="0" xfId="0" applyFont="1" applyAlignment="1" applyProtection="1">
      <alignment/>
      <protection hidden="1"/>
    </xf>
    <xf numFmtId="0" fontId="35" fillId="40" borderId="0" xfId="0" applyFont="1" applyFill="1" applyAlignment="1" applyProtection="1">
      <alignment horizontal="left"/>
      <protection hidden="1"/>
    </xf>
    <xf numFmtId="0" fontId="34" fillId="40" borderId="0" xfId="0" applyFont="1" applyFill="1" applyAlignment="1" applyProtection="1">
      <alignment/>
      <protection hidden="1"/>
    </xf>
    <xf numFmtId="0" fontId="34" fillId="0" borderId="0" xfId="0" applyFont="1" applyAlignment="1" applyProtection="1">
      <alignment horizontal="left"/>
      <protection hidden="1"/>
    </xf>
    <xf numFmtId="0" fontId="34" fillId="40" borderId="0" xfId="0" applyFont="1" applyFill="1" applyAlignment="1">
      <alignment/>
    </xf>
    <xf numFmtId="0" fontId="7" fillId="0" borderId="0" xfId="0" applyFont="1" applyAlignment="1" applyProtection="1">
      <alignment horizontal="left"/>
      <protection hidden="1"/>
    </xf>
    <xf numFmtId="0" fontId="34" fillId="0" borderId="0" xfId="0" applyFont="1" applyAlignment="1">
      <alignment/>
    </xf>
    <xf numFmtId="0" fontId="7" fillId="0" borderId="0" xfId="0" applyFont="1" applyAlignment="1">
      <alignment/>
    </xf>
    <xf numFmtId="0" fontId="15" fillId="40" borderId="0" xfId="0" applyFont="1" applyFill="1" applyAlignment="1">
      <alignment/>
    </xf>
    <xf numFmtId="0" fontId="35" fillId="40" borderId="0" xfId="0" applyFont="1" applyFill="1" applyAlignment="1" applyProtection="1">
      <alignment/>
      <protection hidden="1"/>
    </xf>
    <xf numFmtId="0" fontId="15" fillId="40" borderId="0" xfId="0" applyFont="1" applyFill="1" applyAlignment="1" applyProtection="1">
      <alignment/>
      <protection hidden="1"/>
    </xf>
    <xf numFmtId="0" fontId="35" fillId="40" borderId="0" xfId="0" applyFont="1" applyFill="1" applyAlignment="1">
      <alignment/>
    </xf>
    <xf numFmtId="0" fontId="14" fillId="40" borderId="0" xfId="0" applyFont="1" applyFill="1" applyAlignment="1">
      <alignment/>
    </xf>
    <xf numFmtId="0" fontId="12" fillId="40" borderId="0" xfId="0" applyFont="1" applyFill="1" applyAlignment="1">
      <alignment/>
    </xf>
    <xf numFmtId="0" fontId="36" fillId="40" borderId="0" xfId="0" applyFont="1" applyFill="1" applyAlignment="1">
      <alignment/>
    </xf>
    <xf numFmtId="0" fontId="32" fillId="40" borderId="0" xfId="0" applyFont="1" applyFill="1" applyAlignment="1">
      <alignment horizontal="right"/>
    </xf>
    <xf numFmtId="0" fontId="0" fillId="0" borderId="0" xfId="0" applyFont="1" applyAlignment="1">
      <alignment/>
    </xf>
    <xf numFmtId="0" fontId="12" fillId="34" borderId="0" xfId="0" applyFont="1" applyFill="1" applyBorder="1" applyAlignment="1" applyProtection="1">
      <alignment horizontal="left"/>
      <protection hidden="1"/>
    </xf>
    <xf numFmtId="10" fontId="80" fillId="41" borderId="0" xfId="0" applyNumberFormat="1" applyFont="1" applyFill="1" applyAlignment="1">
      <alignment horizontal="center"/>
    </xf>
    <xf numFmtId="172" fontId="25" fillId="0" borderId="10" xfId="0" applyNumberFormat="1" applyFont="1" applyBorder="1" applyAlignment="1">
      <alignment horizontal="center"/>
    </xf>
    <xf numFmtId="190" fontId="80" fillId="0" borderId="0" xfId="0" applyNumberFormat="1" applyFont="1" applyAlignment="1">
      <alignment horizontal="center"/>
    </xf>
    <xf numFmtId="0" fontId="80" fillId="0" borderId="0" xfId="0" applyFont="1" applyAlignment="1">
      <alignment/>
    </xf>
    <xf numFmtId="3" fontId="80" fillId="0" borderId="0" xfId="0" applyNumberFormat="1" applyFont="1" applyAlignment="1">
      <alignment/>
    </xf>
    <xf numFmtId="198" fontId="80" fillId="0" borderId="0" xfId="0" applyNumberFormat="1" applyFont="1" applyAlignment="1">
      <alignment/>
    </xf>
    <xf numFmtId="0" fontId="6" fillId="0" borderId="17" xfId="0" applyFont="1" applyBorder="1" applyAlignment="1">
      <alignment/>
    </xf>
    <xf numFmtId="2" fontId="6" fillId="0" borderId="10" xfId="0" applyNumberFormat="1" applyFont="1" applyBorder="1" applyAlignment="1" applyProtection="1">
      <alignment horizontal="center"/>
      <protection/>
    </xf>
    <xf numFmtId="0" fontId="24" fillId="0" borderId="16" xfId="0" applyFont="1" applyFill="1" applyBorder="1" applyAlignment="1">
      <alignment horizontal="center"/>
    </xf>
    <xf numFmtId="0" fontId="24" fillId="0" borderId="24" xfId="0" applyFont="1" applyFill="1" applyBorder="1" applyAlignment="1">
      <alignment horizontal="center"/>
    </xf>
    <xf numFmtId="0" fontId="14" fillId="36" borderId="0" xfId="0" applyFont="1" applyFill="1" applyAlignment="1" applyProtection="1">
      <alignment horizontal="center"/>
      <protection hidden="1"/>
    </xf>
    <xf numFmtId="0" fontId="11" fillId="0" borderId="16" xfId="0" applyFont="1" applyBorder="1" applyAlignment="1">
      <alignment horizontal="center"/>
    </xf>
    <xf numFmtId="0" fontId="0" fillId="0" borderId="25" xfId="0" applyBorder="1" applyAlignment="1">
      <alignment/>
    </xf>
    <xf numFmtId="177" fontId="6" fillId="0" borderId="15" xfId="0" applyNumberFormat="1" applyFont="1" applyBorder="1" applyAlignment="1" applyProtection="1">
      <alignment horizontal="center"/>
      <protection/>
    </xf>
    <xf numFmtId="177" fontId="6" fillId="0" borderId="12" xfId="0" applyNumberFormat="1" applyFont="1" applyBorder="1" applyAlignment="1" applyProtection="1">
      <alignment horizontal="center"/>
      <protection/>
    </xf>
    <xf numFmtId="177" fontId="11" fillId="0" borderId="16" xfId="0" applyNumberFormat="1" applyFont="1" applyBorder="1" applyAlignment="1" applyProtection="1">
      <alignment horizontal="center"/>
      <protection hidden="1"/>
    </xf>
    <xf numFmtId="177" fontId="11" fillId="0" borderId="24" xfId="0" applyNumberFormat="1" applyFont="1" applyBorder="1" applyAlignment="1" applyProtection="1">
      <alignment horizontal="center"/>
      <protection hidden="1"/>
    </xf>
    <xf numFmtId="177" fontId="6" fillId="0" borderId="0" xfId="0" applyNumberFormat="1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104775</xdr:rowOff>
    </xdr:from>
    <xdr:to>
      <xdr:col>4</xdr:col>
      <xdr:colOff>400050</xdr:colOff>
      <xdr:row>5</xdr:row>
      <xdr:rowOff>19050</xdr:rowOff>
    </xdr:to>
    <xdr:pic>
      <xdr:nvPicPr>
        <xdr:cNvPr id="1" name="Picture 2" descr="Acme Logo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04775"/>
          <a:ext cx="27241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38100</xdr:rowOff>
    </xdr:from>
    <xdr:to>
      <xdr:col>3</xdr:col>
      <xdr:colOff>695325</xdr:colOff>
      <xdr:row>4</xdr:row>
      <xdr:rowOff>114300</xdr:rowOff>
    </xdr:to>
    <xdr:pic>
      <xdr:nvPicPr>
        <xdr:cNvPr id="1" name="Picture 2" descr="Acme Logo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38100"/>
          <a:ext cx="27241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57150</xdr:rowOff>
    </xdr:from>
    <xdr:to>
      <xdr:col>3</xdr:col>
      <xdr:colOff>657225</xdr:colOff>
      <xdr:row>4</xdr:row>
      <xdr:rowOff>133350</xdr:rowOff>
    </xdr:to>
    <xdr:pic>
      <xdr:nvPicPr>
        <xdr:cNvPr id="1" name="Picture 2" descr="Acme Logo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24175" y="57150"/>
          <a:ext cx="27241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0</xdr:rowOff>
    </xdr:from>
    <xdr:to>
      <xdr:col>2</xdr:col>
      <xdr:colOff>1438275</xdr:colOff>
      <xdr:row>4</xdr:row>
      <xdr:rowOff>76200</xdr:rowOff>
    </xdr:to>
    <xdr:pic>
      <xdr:nvPicPr>
        <xdr:cNvPr id="1" name="Picture 2" descr="Acme Logo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0"/>
          <a:ext cx="27241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47625</xdr:rowOff>
    </xdr:from>
    <xdr:to>
      <xdr:col>3</xdr:col>
      <xdr:colOff>619125</xdr:colOff>
      <xdr:row>4</xdr:row>
      <xdr:rowOff>123825</xdr:rowOff>
    </xdr:to>
    <xdr:pic>
      <xdr:nvPicPr>
        <xdr:cNvPr id="1" name="Picture 2" descr="Acme Logo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6075" y="47625"/>
          <a:ext cx="27241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19050</xdr:rowOff>
    </xdr:from>
    <xdr:to>
      <xdr:col>3</xdr:col>
      <xdr:colOff>619125</xdr:colOff>
      <xdr:row>4</xdr:row>
      <xdr:rowOff>95250</xdr:rowOff>
    </xdr:to>
    <xdr:pic>
      <xdr:nvPicPr>
        <xdr:cNvPr id="1" name="Picture 2" descr="Acme Logo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6075" y="19050"/>
          <a:ext cx="27241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57150</xdr:rowOff>
    </xdr:from>
    <xdr:to>
      <xdr:col>3</xdr:col>
      <xdr:colOff>666750</xdr:colOff>
      <xdr:row>4</xdr:row>
      <xdr:rowOff>133350</xdr:rowOff>
    </xdr:to>
    <xdr:pic>
      <xdr:nvPicPr>
        <xdr:cNvPr id="1" name="Picture 2" descr="Acme Logo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57150"/>
          <a:ext cx="27241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57150</xdr:rowOff>
    </xdr:from>
    <xdr:to>
      <xdr:col>3</xdr:col>
      <xdr:colOff>666750</xdr:colOff>
      <xdr:row>4</xdr:row>
      <xdr:rowOff>133350</xdr:rowOff>
    </xdr:to>
    <xdr:pic>
      <xdr:nvPicPr>
        <xdr:cNvPr id="1" name="Picture 3" descr="Acme Logo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57150"/>
          <a:ext cx="27241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66675</xdr:rowOff>
    </xdr:from>
    <xdr:to>
      <xdr:col>3</xdr:col>
      <xdr:colOff>647700</xdr:colOff>
      <xdr:row>4</xdr:row>
      <xdr:rowOff>142875</xdr:rowOff>
    </xdr:to>
    <xdr:pic>
      <xdr:nvPicPr>
        <xdr:cNvPr id="1" name="Picture 2" descr="Acme Logo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66675"/>
          <a:ext cx="27241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57150</xdr:rowOff>
    </xdr:from>
    <xdr:to>
      <xdr:col>3</xdr:col>
      <xdr:colOff>685800</xdr:colOff>
      <xdr:row>4</xdr:row>
      <xdr:rowOff>133350</xdr:rowOff>
    </xdr:to>
    <xdr:pic>
      <xdr:nvPicPr>
        <xdr:cNvPr id="1" name="Picture 2" descr="Acme Logo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57150"/>
          <a:ext cx="27241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28575</xdr:rowOff>
    </xdr:from>
    <xdr:to>
      <xdr:col>3</xdr:col>
      <xdr:colOff>704850</xdr:colOff>
      <xdr:row>4</xdr:row>
      <xdr:rowOff>104775</xdr:rowOff>
    </xdr:to>
    <xdr:pic>
      <xdr:nvPicPr>
        <xdr:cNvPr id="1" name="Picture 2" descr="Acme Logo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28575"/>
          <a:ext cx="27241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A25"/>
  <sheetViews>
    <sheetView zoomScalePageLayoutView="0" workbookViewId="0" topLeftCell="A1">
      <selection activeCell="D15" sqref="D15"/>
    </sheetView>
  </sheetViews>
  <sheetFormatPr defaultColWidth="9.140625" defaultRowHeight="12.75"/>
  <sheetData>
    <row r="6" ht="27.75">
      <c r="A6" s="105" t="s">
        <v>51</v>
      </c>
    </row>
    <row r="8" ht="15.75">
      <c r="A8" s="143" t="s">
        <v>76</v>
      </c>
    </row>
    <row r="12" ht="12.75">
      <c r="A12" t="s">
        <v>77</v>
      </c>
    </row>
    <row r="14" ht="12.75">
      <c r="A14" t="s">
        <v>133</v>
      </c>
    </row>
    <row r="16" ht="12.75">
      <c r="A16" t="s">
        <v>134</v>
      </c>
    </row>
    <row r="18" ht="12.75">
      <c r="A18" t="s">
        <v>78</v>
      </c>
    </row>
    <row r="20" ht="12.75">
      <c r="A20" s="164" t="s">
        <v>141</v>
      </c>
    </row>
    <row r="22" ht="12.75">
      <c r="A22" s="164" t="s">
        <v>142</v>
      </c>
    </row>
    <row r="24" ht="12.75">
      <c r="A24" s="164" t="s">
        <v>139</v>
      </c>
    </row>
    <row r="25" ht="12.75">
      <c r="A25" s="164" t="s">
        <v>140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6:J58"/>
  <sheetViews>
    <sheetView zoomScalePageLayoutView="0" workbookViewId="0" topLeftCell="A1">
      <selection activeCell="A4" sqref="A4:IV4"/>
    </sheetView>
  </sheetViews>
  <sheetFormatPr defaultColWidth="9.140625" defaultRowHeight="12.75"/>
  <cols>
    <col min="1" max="1" width="42.7109375" style="3" customWidth="1"/>
    <col min="2" max="2" width="15.421875" style="3" customWidth="1"/>
    <col min="3" max="3" width="16.7109375" style="3" customWidth="1"/>
    <col min="4" max="4" width="15.7109375" style="3" customWidth="1"/>
    <col min="5" max="5" width="15.57421875" style="3" customWidth="1"/>
    <col min="6" max="7" width="9.140625" style="3" customWidth="1"/>
    <col min="8" max="8" width="12.28125" style="3" customWidth="1"/>
    <col min="9" max="9" width="10.421875" style="3" customWidth="1"/>
    <col min="10" max="16384" width="9.140625" style="3" customWidth="1"/>
  </cols>
  <sheetData>
    <row r="1" ht="12.75"/>
    <row r="2" ht="12.75"/>
    <row r="3" ht="12.75"/>
    <row r="4" ht="12.75"/>
    <row r="5" ht="12.75"/>
    <row r="6" spans="1:5" ht="30">
      <c r="A6" s="2"/>
      <c r="B6" s="105" t="s">
        <v>51</v>
      </c>
      <c r="D6" s="72"/>
      <c r="E6" s="72"/>
    </row>
    <row r="7" spans="2:4" ht="15.75">
      <c r="B7" s="143" t="s">
        <v>76</v>
      </c>
      <c r="D7" s="4"/>
    </row>
    <row r="8" spans="1:5" ht="14.25">
      <c r="A8" s="5" t="s">
        <v>48</v>
      </c>
      <c r="B8" s="108" t="s">
        <v>58</v>
      </c>
      <c r="C8" s="107"/>
      <c r="D8" s="107"/>
      <c r="E8" s="107"/>
    </row>
    <row r="9" spans="1:5" ht="14.25">
      <c r="A9" s="1" t="s">
        <v>49</v>
      </c>
      <c r="B9" s="109" t="s">
        <v>58</v>
      </c>
      <c r="C9" s="106"/>
      <c r="D9" s="106"/>
      <c r="E9" s="106"/>
    </row>
    <row r="10" spans="1:10" ht="15">
      <c r="A10" s="6" t="s">
        <v>1</v>
      </c>
      <c r="B10" s="7"/>
      <c r="C10" s="7"/>
      <c r="D10" s="181" t="s">
        <v>5</v>
      </c>
      <c r="E10" s="182"/>
      <c r="H10" s="177" t="s">
        <v>52</v>
      </c>
      <c r="I10" s="178"/>
      <c r="J10" s="172"/>
    </row>
    <row r="11" spans="1:9" ht="14.25">
      <c r="A11" s="8" t="s">
        <v>7</v>
      </c>
      <c r="B11" s="9">
        <v>0.5</v>
      </c>
      <c r="C11" s="10">
        <f>D12*E12+D13*E13+D14*E14+D15*E15+D16*E16+D17*E17+D18*E18+D19*E19+D20*E20+D21*E21+D22*E22+D23*E23+D24*E24+D25*E25+D26*E26+0.001</f>
        <v>300.001</v>
      </c>
      <c r="D11" s="11" t="s">
        <v>3</v>
      </c>
      <c r="E11" s="12" t="s">
        <v>4</v>
      </c>
      <c r="G11" s="112" t="s">
        <v>55</v>
      </c>
      <c r="H11" s="112" t="s">
        <v>53</v>
      </c>
      <c r="I11" s="112" t="s">
        <v>54</v>
      </c>
    </row>
    <row r="12" spans="1:9" ht="15" customHeight="1">
      <c r="A12" s="13" t="s">
        <v>8</v>
      </c>
      <c r="B12" s="14">
        <v>0.3</v>
      </c>
      <c r="C12" s="15" t="s">
        <v>6</v>
      </c>
      <c r="D12" s="16">
        <v>0</v>
      </c>
      <c r="E12" s="17">
        <v>15</v>
      </c>
      <c r="G12" s="113">
        <v>15</v>
      </c>
      <c r="H12" s="114">
        <v>0.97</v>
      </c>
      <c r="I12" s="114">
        <v>0.979</v>
      </c>
    </row>
    <row r="13" spans="1:9" ht="14.25">
      <c r="A13" s="13" t="s">
        <v>39</v>
      </c>
      <c r="B13" s="18">
        <v>12</v>
      </c>
      <c r="C13" s="19">
        <f>B17*C11</f>
        <v>285.00095</v>
      </c>
      <c r="D13" s="16">
        <v>0</v>
      </c>
      <c r="E13" s="17">
        <v>30</v>
      </c>
      <c r="G13" s="113">
        <v>30</v>
      </c>
      <c r="H13" s="114">
        <v>0.975</v>
      </c>
      <c r="I13" s="114">
        <v>0.983</v>
      </c>
    </row>
    <row r="14" spans="1:9" ht="14.25">
      <c r="A14" s="13" t="s">
        <v>40</v>
      </c>
      <c r="B14" s="18">
        <v>260</v>
      </c>
      <c r="C14" s="20"/>
      <c r="D14" s="16">
        <v>0</v>
      </c>
      <c r="E14" s="16">
        <v>45</v>
      </c>
      <c r="G14" s="115">
        <v>45</v>
      </c>
      <c r="H14" s="114">
        <v>0.977</v>
      </c>
      <c r="I14" s="114">
        <v>0.984</v>
      </c>
    </row>
    <row r="15" spans="1:9" ht="14.25">
      <c r="A15" s="13" t="s">
        <v>14</v>
      </c>
      <c r="B15" s="21">
        <f>Summary!B21</f>
        <v>0.12</v>
      </c>
      <c r="C15" s="22" t="s">
        <v>11</v>
      </c>
      <c r="D15" s="16">
        <v>0</v>
      </c>
      <c r="E15" s="17">
        <v>75</v>
      </c>
      <c r="G15" s="113">
        <v>75</v>
      </c>
      <c r="H15" s="114">
        <v>0.98</v>
      </c>
      <c r="I15" s="114">
        <v>0.986</v>
      </c>
    </row>
    <row r="16" spans="1:9" ht="14.25">
      <c r="A16" s="13" t="s">
        <v>41</v>
      </c>
      <c r="B16" s="23">
        <v>10</v>
      </c>
      <c r="C16" s="19">
        <f>B11*C13</f>
        <v>142.500475</v>
      </c>
      <c r="D16" s="16">
        <v>0</v>
      </c>
      <c r="E16" s="17">
        <v>112.5</v>
      </c>
      <c r="G16" s="113">
        <v>112.5</v>
      </c>
      <c r="H16" s="114">
        <v>0.982</v>
      </c>
      <c r="I16" s="114">
        <v>0.987</v>
      </c>
    </row>
    <row r="17" spans="1:9" ht="14.25">
      <c r="A17" s="13" t="s">
        <v>2</v>
      </c>
      <c r="B17" s="24">
        <v>0.95</v>
      </c>
      <c r="C17" s="19">
        <f>B12*C13</f>
        <v>85.50028499999999</v>
      </c>
      <c r="D17" s="16">
        <v>0</v>
      </c>
      <c r="E17" s="17">
        <v>150</v>
      </c>
      <c r="G17" s="113">
        <v>150</v>
      </c>
      <c r="H17" s="114">
        <v>0.983</v>
      </c>
      <c r="I17" s="114">
        <v>0.988</v>
      </c>
    </row>
    <row r="18" spans="1:9" ht="14.25">
      <c r="A18" s="13" t="s">
        <v>36</v>
      </c>
      <c r="B18" s="25">
        <v>1.75</v>
      </c>
      <c r="C18" s="26"/>
      <c r="D18" s="16">
        <v>0</v>
      </c>
      <c r="E18" s="17">
        <v>225</v>
      </c>
      <c r="G18" s="113">
        <v>225</v>
      </c>
      <c r="H18" s="114">
        <v>0.985</v>
      </c>
      <c r="I18" s="114">
        <v>0.99</v>
      </c>
    </row>
    <row r="19" spans="1:9" ht="12.75">
      <c r="A19" s="13"/>
      <c r="C19" s="27" t="s">
        <v>27</v>
      </c>
      <c r="D19" s="16">
        <f>Summary!C18</f>
        <v>1</v>
      </c>
      <c r="E19" s="17">
        <v>300</v>
      </c>
      <c r="G19" s="113">
        <v>300</v>
      </c>
      <c r="H19" s="114">
        <v>0.986</v>
      </c>
      <c r="I19" s="114">
        <v>0.99</v>
      </c>
    </row>
    <row r="20" spans="1:9" ht="14.25">
      <c r="A20" s="28" t="s">
        <v>24</v>
      </c>
      <c r="B20" s="29">
        <v>0.986</v>
      </c>
      <c r="C20" s="30">
        <v>1</v>
      </c>
      <c r="D20" s="31">
        <v>0</v>
      </c>
      <c r="E20" s="32">
        <v>500</v>
      </c>
      <c r="G20" s="113">
        <v>500</v>
      </c>
      <c r="H20" s="114">
        <v>0.987</v>
      </c>
      <c r="I20" s="114">
        <v>0.991</v>
      </c>
    </row>
    <row r="21" spans="1:9" ht="14.25">
      <c r="A21" s="28" t="s">
        <v>43</v>
      </c>
      <c r="B21" s="29">
        <v>0.99</v>
      </c>
      <c r="C21" s="26"/>
      <c r="D21" s="33"/>
      <c r="E21" s="34"/>
      <c r="G21" s="54"/>
      <c r="H21" s="50"/>
      <c r="I21" s="50"/>
    </row>
    <row r="22" spans="1:7" ht="12.75">
      <c r="A22" s="35"/>
      <c r="C22" s="26"/>
      <c r="D22" s="36"/>
      <c r="E22" s="36"/>
      <c r="G22" s="54"/>
    </row>
    <row r="23" spans="3:7" ht="12.75">
      <c r="C23" s="26"/>
      <c r="D23" s="36"/>
      <c r="E23" s="36"/>
      <c r="G23" s="54"/>
    </row>
    <row r="24" spans="3:7" ht="12.75">
      <c r="C24" s="26"/>
      <c r="D24" s="36"/>
      <c r="E24" s="36"/>
      <c r="G24" s="54"/>
    </row>
    <row r="25" spans="3:7" ht="12.75">
      <c r="C25" s="26"/>
      <c r="D25" s="36"/>
      <c r="E25" s="36"/>
      <c r="G25" s="54"/>
    </row>
    <row r="26" spans="2:7" ht="13.5" customHeight="1">
      <c r="B26" s="37"/>
      <c r="C26" s="38"/>
      <c r="D26" s="39"/>
      <c r="E26" s="40"/>
      <c r="G26" s="54"/>
    </row>
    <row r="27" spans="1:5" ht="15">
      <c r="A27" s="6" t="s">
        <v>21</v>
      </c>
      <c r="B27" s="41" t="s">
        <v>26</v>
      </c>
      <c r="C27" s="42" t="s">
        <v>12</v>
      </c>
      <c r="D27" s="176" t="s">
        <v>13</v>
      </c>
      <c r="E27" s="176"/>
    </row>
    <row r="28" spans="2:5" ht="12.75">
      <c r="B28" s="43" t="s">
        <v>0</v>
      </c>
      <c r="C28" s="42" t="s">
        <v>9</v>
      </c>
      <c r="D28" s="176" t="s">
        <v>10</v>
      </c>
      <c r="E28" s="176"/>
    </row>
    <row r="29" spans="1:5" ht="14.25">
      <c r="A29" s="13" t="s">
        <v>47</v>
      </c>
      <c r="B29" s="44">
        <f>((C29)*B15*B13*B14+B16*(C29)*12+(24*365-B13*B14)*(D29)*B15)</f>
        <v>2727.7807226661325</v>
      </c>
      <c r="C29" s="45">
        <f>($C$16/(1-(1-B20)*$C$20)-B11*C13)*(1+B18/3.52)</f>
        <v>3.0292518686324326</v>
      </c>
      <c r="D29" s="183">
        <f>C29*C17/C16</f>
        <v>1.8175511211794595</v>
      </c>
      <c r="E29" s="183"/>
    </row>
    <row r="30" spans="1:5" ht="14.25">
      <c r="A30" s="13" t="s">
        <v>45</v>
      </c>
      <c r="B30" s="46">
        <f>((C30)*B15*B13*B14+B16*(C30)*12+(24*365-B13*B14)*(D30)*B15)</f>
        <v>1940.5424188664088</v>
      </c>
      <c r="C30" s="47">
        <f>($C$16/B21-$C$16)*(1+B18/3.52)</f>
        <v>2.1550089051021772</v>
      </c>
      <c r="D30" s="179">
        <f>C30*C17/C16</f>
        <v>1.2930053430613064</v>
      </c>
      <c r="E30" s="179"/>
    </row>
    <row r="31" spans="1:5" ht="14.25">
      <c r="A31" s="48" t="s">
        <v>44</v>
      </c>
      <c r="B31" s="49">
        <f>B29-B30</f>
        <v>787.2383037997238</v>
      </c>
      <c r="C31" s="45">
        <f>C29-C30</f>
        <v>0.8742429635302553</v>
      </c>
      <c r="D31" s="180">
        <f>D29-D30</f>
        <v>0.5245457781181531</v>
      </c>
      <c r="E31" s="180"/>
    </row>
    <row r="32" spans="3:6" ht="12.75">
      <c r="C32" s="51"/>
      <c r="D32" s="52"/>
      <c r="E32" s="53"/>
      <c r="F32" s="54"/>
    </row>
    <row r="33" spans="1:6" ht="15">
      <c r="A33" s="55" t="s">
        <v>38</v>
      </c>
      <c r="B33" s="56">
        <f>C31*B13*B14+D31*(24*365-B13*B14)</f>
        <v>5686.076234800779</v>
      </c>
      <c r="C33" s="57" t="s">
        <v>33</v>
      </c>
      <c r="D33" s="58"/>
      <c r="E33" s="54"/>
      <c r="F33" s="54"/>
    </row>
    <row r="34" spans="1:6" ht="15" customHeight="1">
      <c r="A34" s="59" t="s">
        <v>31</v>
      </c>
      <c r="B34" s="60">
        <f>C31/3.52</f>
        <v>0.2483644782756407</v>
      </c>
      <c r="C34" s="61" t="s">
        <v>34</v>
      </c>
      <c r="D34" s="62"/>
      <c r="E34" s="54"/>
      <c r="F34" s="54"/>
    </row>
    <row r="35" spans="1:6" ht="15" customHeight="1">
      <c r="A35" s="63" t="s">
        <v>37</v>
      </c>
      <c r="B35" s="64">
        <f>D31/3.52</f>
        <v>0.1490186869653844</v>
      </c>
      <c r="C35" s="61" t="s">
        <v>35</v>
      </c>
      <c r="D35" s="62"/>
      <c r="E35" s="54"/>
      <c r="F35" s="54"/>
    </row>
    <row r="36" spans="1:6" ht="12.75">
      <c r="A36" s="65"/>
      <c r="B36" s="65"/>
      <c r="C36" s="66"/>
      <c r="D36" s="67"/>
      <c r="E36" s="54"/>
      <c r="F36" s="54"/>
    </row>
    <row r="37" spans="1:6" ht="14.25">
      <c r="A37" s="68" t="s">
        <v>23</v>
      </c>
      <c r="B37" s="69">
        <v>0</v>
      </c>
      <c r="C37" s="66"/>
      <c r="D37" s="67"/>
      <c r="E37" s="51"/>
      <c r="F37" s="54"/>
    </row>
    <row r="38" spans="1:9" ht="19.5" customHeight="1">
      <c r="A38" s="70"/>
      <c r="B38" s="71"/>
      <c r="C38" s="174" t="s">
        <v>32</v>
      </c>
      <c r="D38" s="175"/>
      <c r="F38" s="72"/>
      <c r="G38" s="39"/>
      <c r="H38" s="116" t="s">
        <v>56</v>
      </c>
      <c r="I38" s="111"/>
    </row>
    <row r="39" spans="1:9" ht="15.75" customHeight="1">
      <c r="A39" s="73" t="s">
        <v>30</v>
      </c>
      <c r="B39" s="74" t="s">
        <v>25</v>
      </c>
      <c r="C39" s="74" t="s">
        <v>42</v>
      </c>
      <c r="D39" s="75" t="s">
        <v>46</v>
      </c>
      <c r="F39" s="72"/>
      <c r="G39" s="117" t="s">
        <v>55</v>
      </c>
      <c r="H39" s="118" t="s">
        <v>57</v>
      </c>
      <c r="I39" s="118" t="s">
        <v>138</v>
      </c>
    </row>
    <row r="40" spans="1:9" ht="15.75" customHeight="1">
      <c r="A40" s="76" t="s">
        <v>28</v>
      </c>
      <c r="B40" s="77">
        <f>SUM(D19*H47)</f>
        <v>11680</v>
      </c>
      <c r="C40" s="78">
        <f>30*(B37+B29)</f>
        <v>81833.42167998398</v>
      </c>
      <c r="D40" s="78">
        <f>50*(B37+B29)</f>
        <v>136389.03613330662</v>
      </c>
      <c r="F40" s="72"/>
      <c r="G40" s="113">
        <v>15</v>
      </c>
      <c r="H40" s="119">
        <v>1730</v>
      </c>
      <c r="I40" s="119">
        <v>1906</v>
      </c>
    </row>
    <row r="41" spans="1:9" ht="15.75" customHeight="1" thickBot="1">
      <c r="A41" s="76" t="s">
        <v>45</v>
      </c>
      <c r="B41" s="77">
        <f>SUM(D19*I47)</f>
        <v>14026</v>
      </c>
      <c r="C41" s="79">
        <f>30*B30</f>
        <v>58216.272565992265</v>
      </c>
      <c r="D41" s="79">
        <f>50*B30</f>
        <v>97027.12094332043</v>
      </c>
      <c r="E41" s="80"/>
      <c r="F41" s="72"/>
      <c r="G41" s="113">
        <v>30</v>
      </c>
      <c r="H41" s="119">
        <v>2130</v>
      </c>
      <c r="I41" s="119">
        <v>2562</v>
      </c>
    </row>
    <row r="42" spans="1:9" ht="15" thickBot="1">
      <c r="A42" s="81" t="s">
        <v>29</v>
      </c>
      <c r="B42" s="82">
        <f>B40-B41</f>
        <v>-2346</v>
      </c>
      <c r="C42" s="83">
        <f>C40-C41</f>
        <v>23617.149113991713</v>
      </c>
      <c r="D42" s="84">
        <f>D40-D41</f>
        <v>39361.91518998619</v>
      </c>
      <c r="F42" s="72"/>
      <c r="G42" s="115">
        <v>45</v>
      </c>
      <c r="H42" s="119">
        <v>2760</v>
      </c>
      <c r="I42" s="119">
        <v>3322</v>
      </c>
    </row>
    <row r="43" spans="1:9" ht="12.75">
      <c r="A43" s="76" t="s">
        <v>22</v>
      </c>
      <c r="B43" s="85">
        <f>(B41-B40)/((B31+B37))</f>
        <v>2.9800379233031205</v>
      </c>
      <c r="C43" s="86" t="s">
        <v>50</v>
      </c>
      <c r="F43" s="72"/>
      <c r="G43" s="113">
        <v>75</v>
      </c>
      <c r="H43" s="119">
        <v>3510</v>
      </c>
      <c r="I43" s="119">
        <v>4458</v>
      </c>
    </row>
    <row r="44" spans="1:9" ht="12.75">
      <c r="A44" s="87"/>
      <c r="B44" s="88"/>
      <c r="C44" s="89"/>
      <c r="F44" s="72"/>
      <c r="G44" s="113">
        <v>112.5</v>
      </c>
      <c r="H44" s="119">
        <v>4800</v>
      </c>
      <c r="I44" s="119">
        <v>5763</v>
      </c>
    </row>
    <row r="45" spans="1:9" ht="12.75">
      <c r="A45" s="87"/>
      <c r="B45" s="88"/>
      <c r="C45" s="89"/>
      <c r="F45" s="72"/>
      <c r="G45" s="113">
        <v>150</v>
      </c>
      <c r="H45" s="119">
        <v>6250</v>
      </c>
      <c r="I45" s="119">
        <v>7509</v>
      </c>
    </row>
    <row r="46" spans="1:9" ht="12.75">
      <c r="A46" s="87"/>
      <c r="B46" s="88"/>
      <c r="C46" s="89"/>
      <c r="F46" s="72"/>
      <c r="G46" s="113">
        <v>225</v>
      </c>
      <c r="H46" s="119">
        <v>8415</v>
      </c>
      <c r="I46" s="119">
        <v>10105</v>
      </c>
    </row>
    <row r="47" spans="1:9" ht="12.75">
      <c r="A47" s="87"/>
      <c r="B47" s="88"/>
      <c r="C47" s="89"/>
      <c r="F47" s="72"/>
      <c r="G47" s="113">
        <v>300</v>
      </c>
      <c r="H47" s="119">
        <v>11680</v>
      </c>
      <c r="I47" s="119">
        <v>14026</v>
      </c>
    </row>
    <row r="48" spans="1:9" ht="12.75">
      <c r="A48" s="87"/>
      <c r="B48" s="88"/>
      <c r="C48" s="89"/>
      <c r="F48" s="72"/>
      <c r="G48" s="113">
        <v>500</v>
      </c>
      <c r="H48" s="119">
        <v>15400</v>
      </c>
      <c r="I48" s="119">
        <v>18551</v>
      </c>
    </row>
    <row r="49" spans="1:6" ht="12.75">
      <c r="A49" s="87"/>
      <c r="B49" s="88"/>
      <c r="C49" s="89"/>
      <c r="F49" s="72"/>
    </row>
    <row r="50" ht="12.75">
      <c r="F50" s="72"/>
    </row>
    <row r="51" spans="1:5" ht="15.75">
      <c r="A51" s="90"/>
      <c r="B51" s="91"/>
      <c r="C51" s="91"/>
      <c r="D51" s="91"/>
      <c r="E51" s="92"/>
    </row>
    <row r="52" spans="1:5" ht="15.75">
      <c r="A52" s="73" t="s">
        <v>15</v>
      </c>
      <c r="B52" s="93"/>
      <c r="C52" s="93"/>
      <c r="D52" s="93"/>
      <c r="E52" s="93"/>
    </row>
    <row r="53" spans="1:5" ht="14.25" customHeight="1">
      <c r="A53" s="94" t="s">
        <v>16</v>
      </c>
      <c r="B53" s="95">
        <f>(C31*B13*B14+D31*(24*365-B13*B14))*0.000738</f>
        <v>4.196324261282975</v>
      </c>
      <c r="C53" s="96" t="s">
        <v>17</v>
      </c>
      <c r="D53" s="97">
        <f>(C31*B13*B14+D31*(24*365-B13*B14))*0.005786</f>
        <v>32.89963709455731</v>
      </c>
      <c r="E53" s="98" t="s">
        <v>18</v>
      </c>
    </row>
    <row r="54" spans="1:5" ht="12" customHeight="1">
      <c r="A54" s="99" t="s">
        <v>19</v>
      </c>
      <c r="B54" s="100">
        <f>(C31*B13*B14+D31*(24*365-B13*B14))/0.46*2.2/2000</f>
        <v>13.59713882234969</v>
      </c>
      <c r="C54" s="101" t="s">
        <v>75</v>
      </c>
      <c r="D54" s="102">
        <f>(C31*B13*B14+D31*(24*365-B13*B14))*0.002491</f>
        <v>14.164015900888742</v>
      </c>
      <c r="E54" s="103" t="s">
        <v>20</v>
      </c>
    </row>
    <row r="55" spans="1:6" ht="15">
      <c r="A55" s="104"/>
      <c r="B55" s="71"/>
      <c r="F55" s="72"/>
    </row>
    <row r="56" spans="1:6" ht="15">
      <c r="A56" s="104"/>
      <c r="B56" s="71"/>
      <c r="F56" s="72"/>
    </row>
    <row r="57" spans="1:6" ht="15">
      <c r="A57" s="104"/>
      <c r="B57" s="71"/>
      <c r="F57" s="72"/>
    </row>
    <row r="58" ht="14.25" customHeight="1">
      <c r="A58" s="72"/>
    </row>
    <row r="59" ht="20.25" customHeight="1"/>
    <row r="63" ht="14.25" customHeight="1"/>
  </sheetData>
  <sheetProtection/>
  <mergeCells count="8">
    <mergeCell ref="H10:I10"/>
    <mergeCell ref="C38:D38"/>
    <mergeCell ref="D10:E10"/>
    <mergeCell ref="D27:E27"/>
    <mergeCell ref="D28:E28"/>
    <mergeCell ref="D29:E29"/>
    <mergeCell ref="D30:E30"/>
    <mergeCell ref="D31:E31"/>
  </mergeCells>
  <printOptions/>
  <pageMargins left="0.7" right="0.7" top="0.75" bottom="0.75" header="0.3" footer="0.3"/>
  <pageSetup fitToHeight="1" fitToWidth="1" horizontalDpi="600" verticalDpi="600" orientation="portrait" scale="85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J58"/>
  <sheetViews>
    <sheetView zoomScalePageLayoutView="0" workbookViewId="0" topLeftCell="A1">
      <selection activeCell="A4" sqref="A4:IV4"/>
    </sheetView>
  </sheetViews>
  <sheetFormatPr defaultColWidth="9.140625" defaultRowHeight="12.75"/>
  <cols>
    <col min="1" max="1" width="42.7109375" style="3" customWidth="1"/>
    <col min="2" max="2" width="15.421875" style="3" customWidth="1"/>
    <col min="3" max="3" width="16.7109375" style="3" customWidth="1"/>
    <col min="4" max="4" width="15.7109375" style="3" customWidth="1"/>
    <col min="5" max="5" width="15.57421875" style="3" customWidth="1"/>
    <col min="6" max="7" width="9.140625" style="3" customWidth="1"/>
    <col min="8" max="8" width="12.28125" style="3" customWidth="1"/>
    <col min="9" max="9" width="10.421875" style="3" customWidth="1"/>
    <col min="10" max="16384" width="9.140625" style="3" customWidth="1"/>
  </cols>
  <sheetData>
    <row r="1" ht="12.75"/>
    <row r="2" ht="12.75"/>
    <row r="3" ht="12.75"/>
    <row r="4" ht="12.75"/>
    <row r="5" ht="12.75"/>
    <row r="6" spans="1:5" ht="30">
      <c r="A6" s="2"/>
      <c r="B6" s="105" t="s">
        <v>51</v>
      </c>
      <c r="D6" s="72"/>
      <c r="E6" s="72"/>
    </row>
    <row r="7" spans="2:4" ht="15.75">
      <c r="B7" s="143" t="s">
        <v>76</v>
      </c>
      <c r="D7" s="4"/>
    </row>
    <row r="8" spans="1:5" ht="14.25">
      <c r="A8" s="5" t="s">
        <v>48</v>
      </c>
      <c r="B8" s="108" t="s">
        <v>58</v>
      </c>
      <c r="C8" s="107"/>
      <c r="D8" s="107"/>
      <c r="E8" s="107"/>
    </row>
    <row r="9" spans="1:5" ht="14.25">
      <c r="A9" s="1" t="s">
        <v>49</v>
      </c>
      <c r="B9" s="109" t="s">
        <v>58</v>
      </c>
      <c r="C9" s="106"/>
      <c r="D9" s="106"/>
      <c r="E9" s="106"/>
    </row>
    <row r="10" spans="1:10" ht="15">
      <c r="A10" s="6" t="s">
        <v>1</v>
      </c>
      <c r="B10" s="7"/>
      <c r="C10" s="7"/>
      <c r="D10" s="181" t="s">
        <v>5</v>
      </c>
      <c r="E10" s="182"/>
      <c r="H10" s="177" t="s">
        <v>52</v>
      </c>
      <c r="I10" s="178"/>
      <c r="J10" s="172"/>
    </row>
    <row r="11" spans="1:9" ht="14.25">
      <c r="A11" s="8" t="s">
        <v>7</v>
      </c>
      <c r="B11" s="9">
        <v>0.5</v>
      </c>
      <c r="C11" s="10">
        <f>D12*E12+D13*E13+D14*E14+D15*E15+D16*E16+D17*E17+D18*E18+D19*E19+D20*E20+D21*E21+D22*E22+D23*E23+D24*E24+D25*E25+D26*E26+0.001</f>
        <v>500.001</v>
      </c>
      <c r="D11" s="11" t="s">
        <v>3</v>
      </c>
      <c r="E11" s="12" t="s">
        <v>4</v>
      </c>
      <c r="G11" s="112" t="s">
        <v>55</v>
      </c>
      <c r="H11" s="112" t="s">
        <v>53</v>
      </c>
      <c r="I11" s="112" t="s">
        <v>54</v>
      </c>
    </row>
    <row r="12" spans="1:9" ht="15" customHeight="1">
      <c r="A12" s="13" t="s">
        <v>8</v>
      </c>
      <c r="B12" s="14">
        <v>0.3</v>
      </c>
      <c r="C12" s="15" t="s">
        <v>6</v>
      </c>
      <c r="D12" s="16">
        <v>0</v>
      </c>
      <c r="E12" s="17">
        <v>15</v>
      </c>
      <c r="G12" s="113">
        <v>15</v>
      </c>
      <c r="H12" s="114">
        <v>0.97</v>
      </c>
      <c r="I12" s="114">
        <v>0.979</v>
      </c>
    </row>
    <row r="13" spans="1:9" ht="14.25">
      <c r="A13" s="13" t="s">
        <v>39</v>
      </c>
      <c r="B13" s="18">
        <v>12</v>
      </c>
      <c r="C13" s="19">
        <f>B17*C11</f>
        <v>475.00094999999993</v>
      </c>
      <c r="D13" s="16">
        <v>0</v>
      </c>
      <c r="E13" s="17">
        <v>30</v>
      </c>
      <c r="G13" s="113">
        <v>30</v>
      </c>
      <c r="H13" s="114">
        <v>0.975</v>
      </c>
      <c r="I13" s="114">
        <v>0.983</v>
      </c>
    </row>
    <row r="14" spans="1:9" ht="14.25">
      <c r="A14" s="13" t="s">
        <v>40</v>
      </c>
      <c r="B14" s="18">
        <v>260</v>
      </c>
      <c r="C14" s="20"/>
      <c r="D14" s="16">
        <v>0</v>
      </c>
      <c r="E14" s="16">
        <v>45</v>
      </c>
      <c r="G14" s="115">
        <v>45</v>
      </c>
      <c r="H14" s="114">
        <v>0.977</v>
      </c>
      <c r="I14" s="114">
        <v>0.984</v>
      </c>
    </row>
    <row r="15" spans="1:9" ht="14.25">
      <c r="A15" s="13" t="s">
        <v>14</v>
      </c>
      <c r="B15" s="21">
        <f>Summary!B21</f>
        <v>0.12</v>
      </c>
      <c r="C15" s="22" t="s">
        <v>11</v>
      </c>
      <c r="D15" s="16">
        <v>0</v>
      </c>
      <c r="E15" s="17">
        <v>75</v>
      </c>
      <c r="G15" s="113">
        <v>75</v>
      </c>
      <c r="H15" s="114">
        <v>0.98</v>
      </c>
      <c r="I15" s="114">
        <v>0.986</v>
      </c>
    </row>
    <row r="16" spans="1:9" ht="14.25">
      <c r="A16" s="13" t="s">
        <v>41</v>
      </c>
      <c r="B16" s="23">
        <v>10</v>
      </c>
      <c r="C16" s="19">
        <f>B11*C13</f>
        <v>237.50047499999997</v>
      </c>
      <c r="D16" s="16">
        <v>0</v>
      </c>
      <c r="E16" s="17">
        <v>112.5</v>
      </c>
      <c r="G16" s="113">
        <v>112.5</v>
      </c>
      <c r="H16" s="114">
        <v>0.982</v>
      </c>
      <c r="I16" s="114">
        <v>0.987</v>
      </c>
    </row>
    <row r="17" spans="1:9" ht="14.25">
      <c r="A17" s="13" t="s">
        <v>2</v>
      </c>
      <c r="B17" s="24">
        <v>0.95</v>
      </c>
      <c r="C17" s="19">
        <f>B12*C13</f>
        <v>142.50028499999996</v>
      </c>
      <c r="D17" s="16">
        <v>0</v>
      </c>
      <c r="E17" s="17">
        <v>150</v>
      </c>
      <c r="G17" s="113">
        <v>150</v>
      </c>
      <c r="H17" s="114">
        <v>0.983</v>
      </c>
      <c r="I17" s="114">
        <v>0.988</v>
      </c>
    </row>
    <row r="18" spans="1:9" ht="14.25">
      <c r="A18" s="13" t="s">
        <v>36</v>
      </c>
      <c r="B18" s="25">
        <v>1.75</v>
      </c>
      <c r="C18" s="26"/>
      <c r="D18" s="16">
        <v>0</v>
      </c>
      <c r="E18" s="17">
        <v>225</v>
      </c>
      <c r="G18" s="113">
        <v>225</v>
      </c>
      <c r="H18" s="114">
        <v>0.985</v>
      </c>
      <c r="I18" s="114">
        <v>0.99</v>
      </c>
    </row>
    <row r="19" spans="1:9" ht="12.75">
      <c r="A19" s="13"/>
      <c r="C19" s="27" t="s">
        <v>27</v>
      </c>
      <c r="D19" s="16">
        <v>0</v>
      </c>
      <c r="E19" s="17">
        <v>300</v>
      </c>
      <c r="G19" s="113">
        <v>300</v>
      </c>
      <c r="H19" s="114">
        <v>0.986</v>
      </c>
      <c r="I19" s="114">
        <v>0.99</v>
      </c>
    </row>
    <row r="20" spans="1:9" ht="14.25">
      <c r="A20" s="28" t="s">
        <v>24</v>
      </c>
      <c r="B20" s="29">
        <v>0.987</v>
      </c>
      <c r="C20" s="30">
        <v>1</v>
      </c>
      <c r="D20" s="31">
        <f>Summary!C19</f>
        <v>1</v>
      </c>
      <c r="E20" s="32">
        <v>500</v>
      </c>
      <c r="G20" s="113">
        <v>500</v>
      </c>
      <c r="H20" s="114">
        <v>0.987</v>
      </c>
      <c r="I20" s="114">
        <v>0.991</v>
      </c>
    </row>
    <row r="21" spans="1:9" ht="14.25">
      <c r="A21" s="28" t="s">
        <v>43</v>
      </c>
      <c r="B21" s="29">
        <v>0.991</v>
      </c>
      <c r="C21" s="26"/>
      <c r="D21" s="33"/>
      <c r="E21" s="34"/>
      <c r="G21" s="54"/>
      <c r="H21" s="50"/>
      <c r="I21" s="50"/>
    </row>
    <row r="22" spans="1:7" ht="12.75">
      <c r="A22" s="35"/>
      <c r="C22" s="26"/>
      <c r="D22" s="36"/>
      <c r="E22" s="36"/>
      <c r="G22" s="54"/>
    </row>
    <row r="23" spans="3:7" ht="12.75">
      <c r="C23" s="26"/>
      <c r="D23" s="36"/>
      <c r="E23" s="36"/>
      <c r="G23" s="54"/>
    </row>
    <row r="24" spans="3:7" ht="12.75">
      <c r="C24" s="26"/>
      <c r="D24" s="36"/>
      <c r="E24" s="36"/>
      <c r="G24" s="54"/>
    </row>
    <row r="25" spans="3:7" ht="12.75">
      <c r="C25" s="26"/>
      <c r="D25" s="36"/>
      <c r="E25" s="36"/>
      <c r="G25" s="54"/>
    </row>
    <row r="26" spans="2:7" ht="13.5" customHeight="1">
      <c r="B26" s="37"/>
      <c r="C26" s="38"/>
      <c r="D26" s="39"/>
      <c r="E26" s="40"/>
      <c r="G26" s="54"/>
    </row>
    <row r="27" spans="1:5" ht="15">
      <c r="A27" s="6" t="s">
        <v>21</v>
      </c>
      <c r="B27" s="41" t="s">
        <v>26</v>
      </c>
      <c r="C27" s="42" t="s">
        <v>12</v>
      </c>
      <c r="D27" s="176" t="s">
        <v>13</v>
      </c>
      <c r="E27" s="176"/>
    </row>
    <row r="28" spans="2:5" ht="12.75">
      <c r="B28" s="43" t="s">
        <v>0</v>
      </c>
      <c r="C28" s="42" t="s">
        <v>9</v>
      </c>
      <c r="D28" s="176" t="s">
        <v>10</v>
      </c>
      <c r="E28" s="176"/>
    </row>
    <row r="29" spans="1:5" ht="14.25">
      <c r="A29" s="13" t="s">
        <v>47</v>
      </c>
      <c r="B29" s="44">
        <f>((C29)*B15*B13*B14+B16*(C29)*12+(24*365-B13*B14)*(D29)*B15)</f>
        <v>4217.28261249807</v>
      </c>
      <c r="C29" s="45">
        <f>($C$16/(1-(1-B20)*$C$20)-B11*C13)*(1+B18/3.52)</f>
        <v>4.683371771164347</v>
      </c>
      <c r="D29" s="183">
        <f>C29*C17/C16</f>
        <v>2.810023062698608</v>
      </c>
      <c r="E29" s="183"/>
    </row>
    <row r="30" spans="1:5" ht="14.25">
      <c r="A30" s="13" t="s">
        <v>45</v>
      </c>
      <c r="B30" s="46">
        <f>((C30)*B15*B13*B14+B16*(C30)*12+(24*365-B13*B14)*(D30)*B15)</f>
        <v>2907.872502275891</v>
      </c>
      <c r="C30" s="47">
        <f>($C$16/B21-$C$16)*(1+B18/3.52)</f>
        <v>3.2292471818095803</v>
      </c>
      <c r="D30" s="179">
        <f>C30*C17/C16</f>
        <v>1.937548309085748</v>
      </c>
      <c r="E30" s="179"/>
    </row>
    <row r="31" spans="1:5" ht="14.25">
      <c r="A31" s="48" t="s">
        <v>44</v>
      </c>
      <c r="B31" s="49">
        <f>B29-B30</f>
        <v>1309.4101102221794</v>
      </c>
      <c r="C31" s="45">
        <f>C29-C30</f>
        <v>1.4541245893547665</v>
      </c>
      <c r="D31" s="180">
        <f>D29-D30</f>
        <v>0.8724747536128599</v>
      </c>
      <c r="E31" s="180"/>
    </row>
    <row r="32" spans="3:6" ht="12.75">
      <c r="C32" s="51"/>
      <c r="D32" s="52"/>
      <c r="E32" s="53"/>
      <c r="F32" s="54"/>
    </row>
    <row r="33" spans="1:6" ht="15">
      <c r="A33" s="55" t="s">
        <v>38</v>
      </c>
      <c r="B33" s="56">
        <f>C31*B13*B14+D31*(24*365-B13*B14)</f>
        <v>9457.626329163402</v>
      </c>
      <c r="C33" s="57" t="s">
        <v>33</v>
      </c>
      <c r="D33" s="58"/>
      <c r="E33" s="54"/>
      <c r="F33" s="54"/>
    </row>
    <row r="34" spans="1:6" ht="15" customHeight="1">
      <c r="A34" s="59" t="s">
        <v>31</v>
      </c>
      <c r="B34" s="60">
        <f>C31/3.52</f>
        <v>0.41310357652124047</v>
      </c>
      <c r="C34" s="61" t="s">
        <v>34</v>
      </c>
      <c r="D34" s="62"/>
      <c r="E34" s="54"/>
      <c r="F34" s="54"/>
    </row>
    <row r="35" spans="1:6" ht="15" customHeight="1">
      <c r="A35" s="63" t="s">
        <v>37</v>
      </c>
      <c r="B35" s="64">
        <f>D31/3.52</f>
        <v>0.24786214591274427</v>
      </c>
      <c r="C35" s="61" t="s">
        <v>35</v>
      </c>
      <c r="D35" s="62"/>
      <c r="E35" s="54"/>
      <c r="F35" s="54"/>
    </row>
    <row r="36" spans="1:6" ht="12.75">
      <c r="A36" s="65"/>
      <c r="B36" s="65"/>
      <c r="C36" s="66"/>
      <c r="D36" s="67"/>
      <c r="E36" s="54"/>
      <c r="F36" s="54"/>
    </row>
    <row r="37" spans="1:6" ht="14.25">
      <c r="A37" s="68" t="s">
        <v>23</v>
      </c>
      <c r="B37" s="69">
        <v>0</v>
      </c>
      <c r="C37" s="66"/>
      <c r="D37" s="67"/>
      <c r="E37" s="51"/>
      <c r="F37" s="54"/>
    </row>
    <row r="38" spans="1:9" ht="19.5" customHeight="1">
      <c r="A38" s="70"/>
      <c r="B38" s="71"/>
      <c r="C38" s="174" t="s">
        <v>32</v>
      </c>
      <c r="D38" s="175"/>
      <c r="F38" s="72"/>
      <c r="G38" s="39"/>
      <c r="H38" s="116" t="s">
        <v>56</v>
      </c>
      <c r="I38" s="111"/>
    </row>
    <row r="39" spans="1:9" ht="15.75" customHeight="1">
      <c r="A39" s="73" t="s">
        <v>30</v>
      </c>
      <c r="B39" s="74" t="s">
        <v>25</v>
      </c>
      <c r="C39" s="74" t="s">
        <v>42</v>
      </c>
      <c r="D39" s="75" t="s">
        <v>46</v>
      </c>
      <c r="F39" s="72"/>
      <c r="G39" s="117" t="s">
        <v>55</v>
      </c>
      <c r="H39" s="118" t="s">
        <v>57</v>
      </c>
      <c r="I39" s="118" t="s">
        <v>138</v>
      </c>
    </row>
    <row r="40" spans="1:9" ht="15.75" customHeight="1">
      <c r="A40" s="76" t="s">
        <v>28</v>
      </c>
      <c r="B40" s="77">
        <f>SUM(D20*H48)</f>
        <v>15400</v>
      </c>
      <c r="C40" s="78">
        <f>30*(B37+B29)</f>
        <v>126518.4783749421</v>
      </c>
      <c r="D40" s="78">
        <f>50*(B37+B29)</f>
        <v>210864.1306249035</v>
      </c>
      <c r="F40" s="72"/>
      <c r="G40" s="113">
        <v>15</v>
      </c>
      <c r="H40" s="119">
        <v>1730</v>
      </c>
      <c r="I40" s="119">
        <v>1906</v>
      </c>
    </row>
    <row r="41" spans="1:9" ht="15.75" customHeight="1" thickBot="1">
      <c r="A41" s="76" t="s">
        <v>45</v>
      </c>
      <c r="B41" s="77">
        <f>SUM(D20*I48)</f>
        <v>18551</v>
      </c>
      <c r="C41" s="79">
        <f>30*B30</f>
        <v>87236.17506827673</v>
      </c>
      <c r="D41" s="79">
        <f>50*B30</f>
        <v>145393.62511379455</v>
      </c>
      <c r="E41" s="80"/>
      <c r="F41" s="72"/>
      <c r="G41" s="113">
        <v>30</v>
      </c>
      <c r="H41" s="119">
        <v>2130</v>
      </c>
      <c r="I41" s="119">
        <v>2562</v>
      </c>
    </row>
    <row r="42" spans="1:9" ht="15" thickBot="1">
      <c r="A42" s="81" t="s">
        <v>29</v>
      </c>
      <c r="B42" s="82">
        <f>B40-B41</f>
        <v>-3151</v>
      </c>
      <c r="C42" s="83">
        <f>C40-C41</f>
        <v>39282.30330666537</v>
      </c>
      <c r="D42" s="84">
        <f>D40-D41</f>
        <v>65470.50551110896</v>
      </c>
      <c r="F42" s="72"/>
      <c r="G42" s="115">
        <v>45</v>
      </c>
      <c r="H42" s="119">
        <v>2760</v>
      </c>
      <c r="I42" s="119">
        <v>3322</v>
      </c>
    </row>
    <row r="43" spans="1:9" ht="12.75">
      <c r="A43" s="76" t="s">
        <v>22</v>
      </c>
      <c r="B43" s="85">
        <f>(B41-B40)/((B31+B37))</f>
        <v>2.406427119663328</v>
      </c>
      <c r="C43" s="86" t="s">
        <v>50</v>
      </c>
      <c r="F43" s="72"/>
      <c r="G43" s="113">
        <v>75</v>
      </c>
      <c r="H43" s="119">
        <v>3510</v>
      </c>
      <c r="I43" s="119">
        <v>4458</v>
      </c>
    </row>
    <row r="44" spans="1:9" ht="12.75">
      <c r="A44" s="87"/>
      <c r="B44" s="88"/>
      <c r="C44" s="89"/>
      <c r="F44" s="72"/>
      <c r="G44" s="113">
        <v>112.5</v>
      </c>
      <c r="H44" s="119">
        <v>4800</v>
      </c>
      <c r="I44" s="119">
        <v>5763</v>
      </c>
    </row>
    <row r="45" spans="1:9" ht="12.75">
      <c r="A45" s="87"/>
      <c r="B45" s="88"/>
      <c r="C45" s="89"/>
      <c r="F45" s="72"/>
      <c r="G45" s="113">
        <v>150</v>
      </c>
      <c r="H45" s="119">
        <v>6250</v>
      </c>
      <c r="I45" s="119">
        <v>7509</v>
      </c>
    </row>
    <row r="46" spans="1:9" ht="12.75">
      <c r="A46" s="87"/>
      <c r="B46" s="88"/>
      <c r="C46" s="89"/>
      <c r="F46" s="72"/>
      <c r="G46" s="113">
        <v>225</v>
      </c>
      <c r="H46" s="119">
        <v>8415</v>
      </c>
      <c r="I46" s="119">
        <v>10105</v>
      </c>
    </row>
    <row r="47" spans="1:9" ht="12.75">
      <c r="A47" s="87"/>
      <c r="B47" s="88"/>
      <c r="C47" s="89"/>
      <c r="F47" s="72"/>
      <c r="G47" s="113">
        <v>300</v>
      </c>
      <c r="H47" s="119">
        <v>11680</v>
      </c>
      <c r="I47" s="119">
        <v>14026</v>
      </c>
    </row>
    <row r="48" spans="1:9" ht="12.75">
      <c r="A48" s="87"/>
      <c r="B48" s="88"/>
      <c r="C48" s="89"/>
      <c r="F48" s="72"/>
      <c r="G48" s="113">
        <v>500</v>
      </c>
      <c r="H48" s="119">
        <v>15400</v>
      </c>
      <c r="I48" s="119">
        <v>18551</v>
      </c>
    </row>
    <row r="49" spans="1:6" ht="12.75">
      <c r="A49" s="87"/>
      <c r="B49" s="88"/>
      <c r="C49" s="89"/>
      <c r="F49" s="72"/>
    </row>
    <row r="50" ht="12.75">
      <c r="F50" s="72"/>
    </row>
    <row r="51" spans="1:5" ht="15.75">
      <c r="A51" s="90"/>
      <c r="B51" s="91"/>
      <c r="C51" s="91"/>
      <c r="D51" s="91"/>
      <c r="E51" s="92"/>
    </row>
    <row r="52" spans="1:5" ht="15.75">
      <c r="A52" s="73" t="s">
        <v>15</v>
      </c>
      <c r="B52" s="93"/>
      <c r="C52" s="93"/>
      <c r="D52" s="93"/>
      <c r="E52" s="93"/>
    </row>
    <row r="53" spans="1:5" ht="14.25" customHeight="1">
      <c r="A53" s="94" t="s">
        <v>16</v>
      </c>
      <c r="B53" s="95">
        <f>(C31*B13*B14+D31*(24*365-B13*B14))*0.000738</f>
        <v>6.979728230922591</v>
      </c>
      <c r="C53" s="96" t="s">
        <v>17</v>
      </c>
      <c r="D53" s="97">
        <f>(C31*B13*B14+D31*(24*365-B13*B14))*0.005786</f>
        <v>54.721825940539446</v>
      </c>
      <c r="E53" s="98" t="s">
        <v>18</v>
      </c>
    </row>
    <row r="54" spans="1:5" ht="12" customHeight="1">
      <c r="A54" s="99" t="s">
        <v>19</v>
      </c>
      <c r="B54" s="100">
        <f>(C31*B13*B14+D31*(24*365-B13*B14))/0.46*2.2/2000</f>
        <v>22.61606296104292</v>
      </c>
      <c r="C54" s="101" t="s">
        <v>75</v>
      </c>
      <c r="D54" s="102">
        <f>(C31*B13*B14+D31*(24*365-B13*B14))*0.002491</f>
        <v>23.558947185946035</v>
      </c>
      <c r="E54" s="103" t="s">
        <v>20</v>
      </c>
    </row>
    <row r="55" spans="1:6" ht="15">
      <c r="A55" s="104"/>
      <c r="B55" s="71"/>
      <c r="F55" s="72"/>
    </row>
    <row r="56" spans="1:6" ht="15">
      <c r="A56" s="104"/>
      <c r="B56" s="71"/>
      <c r="F56" s="72"/>
    </row>
    <row r="57" spans="1:6" ht="15">
      <c r="A57" s="104"/>
      <c r="B57" s="71"/>
      <c r="F57" s="72"/>
    </row>
    <row r="58" ht="14.25" customHeight="1">
      <c r="A58" s="72"/>
    </row>
    <row r="59" ht="20.25" customHeight="1"/>
    <row r="63" ht="14.25" customHeight="1"/>
  </sheetData>
  <sheetProtection/>
  <mergeCells count="8">
    <mergeCell ref="H10:I10"/>
    <mergeCell ref="C38:D38"/>
    <mergeCell ref="D10:E10"/>
    <mergeCell ref="D27:E27"/>
    <mergeCell ref="D28:E28"/>
    <mergeCell ref="D29:E29"/>
    <mergeCell ref="D30:E30"/>
    <mergeCell ref="D31:E31"/>
  </mergeCells>
  <printOptions/>
  <pageMargins left="0.7" right="0.7" top="0.75" bottom="0.75" header="0.3" footer="0.3"/>
  <pageSetup fitToHeight="1" fitToWidth="1" horizontalDpi="600" verticalDpi="600" orientation="portrait" scale="85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8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86.00390625" style="0" customWidth="1"/>
  </cols>
  <sheetData>
    <row r="1" spans="1:3" ht="15.75">
      <c r="A1" s="144" t="s">
        <v>79</v>
      </c>
      <c r="B1" s="145"/>
      <c r="C1" s="146"/>
    </row>
    <row r="2" spans="1:3" ht="12.75">
      <c r="A2" s="147"/>
      <c r="B2" s="148"/>
      <c r="C2" s="148"/>
    </row>
    <row r="3" spans="1:3" ht="12.75">
      <c r="A3" s="149" t="s">
        <v>80</v>
      </c>
      <c r="B3" s="150"/>
      <c r="C3" s="150"/>
    </row>
    <row r="4" spans="1:3" ht="12.75">
      <c r="A4" s="151" t="s">
        <v>81</v>
      </c>
      <c r="B4" s="148"/>
      <c r="C4" s="148"/>
    </row>
    <row r="5" spans="1:3" ht="12.75">
      <c r="A5" s="149" t="s">
        <v>82</v>
      </c>
      <c r="B5" s="152"/>
      <c r="C5" s="152"/>
    </row>
    <row r="6" spans="1:3" ht="12.75">
      <c r="A6" s="153" t="s">
        <v>83</v>
      </c>
      <c r="B6" s="148"/>
      <c r="C6" s="148"/>
    </row>
    <row r="7" spans="1:3" ht="12.75">
      <c r="A7" s="151" t="s">
        <v>84</v>
      </c>
      <c r="B7" s="148"/>
      <c r="C7" s="148"/>
    </row>
    <row r="8" spans="1:3" ht="12.75">
      <c r="A8" s="154" t="s">
        <v>85</v>
      </c>
      <c r="B8" s="148"/>
      <c r="C8" s="148"/>
    </row>
    <row r="9" spans="1:3" ht="12.75">
      <c r="A9" s="154" t="s">
        <v>86</v>
      </c>
      <c r="B9" s="148"/>
      <c r="C9" s="148"/>
    </row>
    <row r="10" spans="1:3" ht="12.75">
      <c r="A10" s="155" t="s">
        <v>87</v>
      </c>
      <c r="B10" s="148"/>
      <c r="C10" s="148"/>
    </row>
    <row r="11" spans="1:3" ht="12.75">
      <c r="A11" s="154" t="s">
        <v>88</v>
      </c>
      <c r="B11" s="148"/>
      <c r="C11" s="148"/>
    </row>
    <row r="12" spans="1:3" ht="12.75">
      <c r="A12" s="154" t="s">
        <v>89</v>
      </c>
      <c r="B12" s="148"/>
      <c r="C12" s="148"/>
    </row>
    <row r="13" spans="1:3" ht="12.75">
      <c r="A13" s="154" t="s">
        <v>90</v>
      </c>
      <c r="B13" s="148"/>
      <c r="C13" s="148"/>
    </row>
    <row r="14" spans="1:3" ht="12.75">
      <c r="A14" s="149" t="s">
        <v>91</v>
      </c>
      <c r="B14" s="152"/>
      <c r="C14" s="152"/>
    </row>
    <row r="15" spans="1:3" ht="12.75">
      <c r="A15" s="151" t="s">
        <v>92</v>
      </c>
      <c r="B15" s="148"/>
      <c r="C15" s="148"/>
    </row>
    <row r="16" spans="1:3" ht="12.75">
      <c r="A16" s="151" t="s">
        <v>93</v>
      </c>
      <c r="B16" s="148"/>
      <c r="C16" s="148"/>
    </row>
    <row r="17" spans="1:3" ht="12.75">
      <c r="A17" s="151" t="s">
        <v>94</v>
      </c>
      <c r="B17" s="148"/>
      <c r="C17" s="148"/>
    </row>
    <row r="18" spans="1:3" ht="12.75">
      <c r="A18" s="149" t="s">
        <v>2</v>
      </c>
      <c r="B18" s="156"/>
      <c r="C18" s="156"/>
    </row>
    <row r="19" spans="1:3" ht="12.75">
      <c r="A19" s="151" t="s">
        <v>95</v>
      </c>
      <c r="B19" s="154"/>
      <c r="C19" s="154"/>
    </row>
    <row r="20" spans="1:3" ht="12.75">
      <c r="A20" s="151" t="s">
        <v>96</v>
      </c>
      <c r="B20" s="148"/>
      <c r="C20" s="148"/>
    </row>
    <row r="21" spans="1:3" ht="12.75">
      <c r="A21" s="157" t="s">
        <v>97</v>
      </c>
      <c r="B21" s="158"/>
      <c r="C21" s="158"/>
    </row>
    <row r="22" spans="1:3" ht="12.75">
      <c r="A22" s="148" t="s">
        <v>98</v>
      </c>
      <c r="B22" s="148"/>
      <c r="C22" s="148"/>
    </row>
    <row r="23" spans="1:3" ht="12.75">
      <c r="A23" s="148" t="s">
        <v>99</v>
      </c>
      <c r="B23" s="148"/>
      <c r="C23" s="148"/>
    </row>
    <row r="24" spans="1:3" ht="12.75">
      <c r="A24" s="148" t="s">
        <v>100</v>
      </c>
      <c r="B24" s="148"/>
      <c r="C24" s="148"/>
    </row>
    <row r="25" spans="1:3" ht="12.75">
      <c r="A25" s="148" t="s">
        <v>101</v>
      </c>
      <c r="B25" s="148"/>
      <c r="C25" s="148"/>
    </row>
    <row r="26" spans="1:3" ht="12.75">
      <c r="A26" s="154" t="s">
        <v>102</v>
      </c>
      <c r="B26" s="154"/>
      <c r="C26" s="154"/>
    </row>
    <row r="27" spans="1:3" ht="12.75">
      <c r="A27" s="157" t="s">
        <v>103</v>
      </c>
      <c r="B27" s="156"/>
      <c r="C27" s="156"/>
    </row>
    <row r="28" spans="1:3" ht="12.75">
      <c r="A28" s="148" t="s">
        <v>104</v>
      </c>
      <c r="B28" s="148"/>
      <c r="C28" s="148"/>
    </row>
    <row r="29" spans="1:3" ht="12.75">
      <c r="A29" s="157" t="s">
        <v>105</v>
      </c>
      <c r="B29" s="158"/>
      <c r="C29" s="158"/>
    </row>
    <row r="30" spans="1:3" ht="12.75">
      <c r="A30" s="148" t="s">
        <v>106</v>
      </c>
      <c r="B30" s="154"/>
      <c r="C30" s="154"/>
    </row>
    <row r="31" spans="1:3" ht="12.75">
      <c r="A31" s="157" t="s">
        <v>107</v>
      </c>
      <c r="B31" s="158"/>
      <c r="C31" s="158"/>
    </row>
    <row r="32" spans="1:3" ht="12.75">
      <c r="A32" s="148" t="s">
        <v>108</v>
      </c>
      <c r="B32" s="154"/>
      <c r="C32" s="154"/>
    </row>
    <row r="33" spans="1:3" ht="12.75">
      <c r="A33" s="148" t="s">
        <v>109</v>
      </c>
      <c r="B33" s="148"/>
      <c r="C33" s="148"/>
    </row>
    <row r="34" spans="1:3" ht="12.75">
      <c r="A34" s="148" t="s">
        <v>110</v>
      </c>
      <c r="B34" s="148"/>
      <c r="C34" s="148"/>
    </row>
    <row r="35" spans="1:3" ht="12.75">
      <c r="A35" s="148" t="s">
        <v>111</v>
      </c>
      <c r="B35" s="148"/>
      <c r="C35" s="148"/>
    </row>
    <row r="36" spans="1:3" ht="12.75">
      <c r="A36" s="157" t="s">
        <v>112</v>
      </c>
      <c r="B36" s="156"/>
      <c r="C36" s="156"/>
    </row>
    <row r="37" spans="1:3" ht="12.75">
      <c r="A37" s="148" t="s">
        <v>113</v>
      </c>
      <c r="B37" s="154"/>
      <c r="C37" s="154"/>
    </row>
    <row r="38" spans="1:3" ht="12.75">
      <c r="A38" s="154" t="s">
        <v>114</v>
      </c>
      <c r="B38" s="154"/>
      <c r="C38" s="154"/>
    </row>
    <row r="39" spans="1:3" ht="12.75">
      <c r="A39" s="157" t="s">
        <v>115</v>
      </c>
      <c r="B39" s="156"/>
      <c r="C39" s="156"/>
    </row>
    <row r="40" spans="1:3" ht="12.75">
      <c r="A40" s="148" t="s">
        <v>116</v>
      </c>
      <c r="B40" s="148"/>
      <c r="C40" s="154"/>
    </row>
    <row r="41" spans="1:3" ht="12.75">
      <c r="A41" s="159" t="s">
        <v>117</v>
      </c>
      <c r="B41" s="156"/>
      <c r="C41" s="156"/>
    </row>
    <row r="42" spans="1:3" ht="12.75">
      <c r="A42" s="154" t="s">
        <v>118</v>
      </c>
      <c r="B42" s="154"/>
      <c r="C42" s="154"/>
    </row>
    <row r="43" spans="1:3" ht="12.75">
      <c r="A43" s="154" t="s">
        <v>119</v>
      </c>
      <c r="B43" s="154"/>
      <c r="C43" s="148"/>
    </row>
    <row r="44" spans="1:3" ht="12.75">
      <c r="A44" s="160" t="s">
        <v>120</v>
      </c>
      <c r="B44" s="161"/>
      <c r="C44" s="161"/>
    </row>
    <row r="45" spans="1:3" ht="12.75">
      <c r="A45" s="154" t="s">
        <v>121</v>
      </c>
      <c r="B45" s="3"/>
      <c r="C45" s="3"/>
    </row>
    <row r="46" spans="1:3" ht="12.75">
      <c r="A46" s="154" t="s">
        <v>122</v>
      </c>
      <c r="B46" s="3"/>
      <c r="C46" s="3"/>
    </row>
    <row r="47" spans="1:3" ht="12.75">
      <c r="A47" s="160" t="s">
        <v>123</v>
      </c>
      <c r="B47" s="161"/>
      <c r="C47" s="161"/>
    </row>
    <row r="48" spans="1:3" ht="12.75">
      <c r="A48" s="154" t="s">
        <v>124</v>
      </c>
      <c r="B48" s="3"/>
      <c r="C48" s="3"/>
    </row>
    <row r="49" spans="1:3" ht="12.75">
      <c r="A49" s="154" t="s">
        <v>125</v>
      </c>
      <c r="B49" s="3"/>
      <c r="C49" s="3"/>
    </row>
    <row r="50" spans="1:3" ht="12.75">
      <c r="A50" s="154" t="s">
        <v>126</v>
      </c>
      <c r="B50" s="3"/>
      <c r="C50" s="3"/>
    </row>
    <row r="51" spans="1:3" ht="12.75">
      <c r="A51" s="154" t="s">
        <v>127</v>
      </c>
      <c r="B51" s="3"/>
      <c r="C51" s="3"/>
    </row>
    <row r="52" spans="1:3" ht="12.75">
      <c r="A52" s="154" t="s">
        <v>128</v>
      </c>
      <c r="B52" s="3"/>
      <c r="C52" s="3"/>
    </row>
    <row r="53" spans="1:3" ht="12.75">
      <c r="A53" s="154" t="s">
        <v>129</v>
      </c>
      <c r="B53" s="3"/>
      <c r="C53" s="3"/>
    </row>
    <row r="54" spans="1:3" ht="12.75">
      <c r="A54" s="154" t="s">
        <v>130</v>
      </c>
      <c r="B54" s="3"/>
      <c r="C54" s="3"/>
    </row>
    <row r="55" spans="1:3" ht="12.75">
      <c r="A55" s="154" t="s">
        <v>131</v>
      </c>
      <c r="B55" s="3"/>
      <c r="C55" s="3"/>
    </row>
    <row r="56" spans="1:3" ht="12.75">
      <c r="A56" s="162"/>
      <c r="B56" s="161"/>
      <c r="C56" s="163"/>
    </row>
    <row r="57" spans="1:3" ht="12.75">
      <c r="A57" s="3"/>
      <c r="B57" s="3"/>
      <c r="C57" s="3"/>
    </row>
    <row r="58" spans="1:3" ht="12.75">
      <c r="A58" s="154" t="s">
        <v>132</v>
      </c>
      <c r="B58" s="3"/>
      <c r="C58" s="3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6:K79"/>
  <sheetViews>
    <sheetView tabSelected="1" zoomScalePageLayoutView="0" workbookViewId="0" topLeftCell="A1">
      <selection activeCell="G55" sqref="G55"/>
    </sheetView>
  </sheetViews>
  <sheetFormatPr defaultColWidth="9.140625" defaultRowHeight="12.75"/>
  <cols>
    <col min="1" max="1" width="38.7109375" style="0" bestFit="1" customWidth="1"/>
    <col min="2" max="2" width="20.140625" style="0" customWidth="1"/>
    <col min="3" max="3" width="32.421875" style="0" bestFit="1" customWidth="1"/>
    <col min="4" max="4" width="18.7109375" style="0" customWidth="1"/>
    <col min="5" max="5" width="11.8515625" style="0" bestFit="1" customWidth="1"/>
  </cols>
  <sheetData>
    <row r="6" ht="27.75">
      <c r="B6" s="105" t="s">
        <v>51</v>
      </c>
    </row>
    <row r="7" ht="15.75">
      <c r="B7" s="143" t="s">
        <v>76</v>
      </c>
    </row>
    <row r="8" ht="12.75">
      <c r="A8" s="110" t="s">
        <v>59</v>
      </c>
    </row>
    <row r="10" spans="1:4" ht="12.75">
      <c r="A10" s="110" t="s">
        <v>60</v>
      </c>
      <c r="C10" s="121" t="s">
        <v>62</v>
      </c>
      <c r="D10" s="121" t="s">
        <v>61</v>
      </c>
    </row>
    <row r="11" spans="2:4" ht="12.75">
      <c r="B11" s="110" t="s">
        <v>58</v>
      </c>
      <c r="C11" s="120">
        <v>1</v>
      </c>
      <c r="D11" s="120" t="s">
        <v>63</v>
      </c>
    </row>
    <row r="12" spans="1:4" ht="12.75">
      <c r="A12" s="110"/>
      <c r="B12" s="110"/>
      <c r="C12" s="120">
        <v>1</v>
      </c>
      <c r="D12" s="120" t="s">
        <v>64</v>
      </c>
    </row>
    <row r="13" spans="1:4" ht="12.75">
      <c r="A13" s="110"/>
      <c r="B13" s="110"/>
      <c r="C13" s="120">
        <v>1</v>
      </c>
      <c r="D13" s="120" t="s">
        <v>65</v>
      </c>
    </row>
    <row r="14" spans="1:4" ht="12.75">
      <c r="A14" s="110"/>
      <c r="B14" s="110"/>
      <c r="C14" s="120">
        <v>1</v>
      </c>
      <c r="D14" s="120" t="s">
        <v>66</v>
      </c>
    </row>
    <row r="15" spans="1:4" ht="12.75">
      <c r="A15" s="110"/>
      <c r="B15" s="110"/>
      <c r="C15" s="120">
        <v>1</v>
      </c>
      <c r="D15" s="120" t="s">
        <v>67</v>
      </c>
    </row>
    <row r="16" spans="1:4" ht="12.75">
      <c r="A16" s="110"/>
      <c r="B16" s="110"/>
      <c r="C16" s="120">
        <v>1</v>
      </c>
      <c r="D16" s="120" t="s">
        <v>68</v>
      </c>
    </row>
    <row r="17" spans="1:4" ht="12.75">
      <c r="A17" s="110"/>
      <c r="B17" s="110"/>
      <c r="C17" s="120">
        <v>1</v>
      </c>
      <c r="D17" s="120" t="s">
        <v>69</v>
      </c>
    </row>
    <row r="18" spans="1:4" ht="12.75">
      <c r="A18" s="110"/>
      <c r="B18" s="110"/>
      <c r="C18" s="120">
        <v>1</v>
      </c>
      <c r="D18" s="120" t="s">
        <v>70</v>
      </c>
    </row>
    <row r="19" spans="1:4" ht="12.75">
      <c r="A19" s="110"/>
      <c r="B19" s="110"/>
      <c r="C19" s="120">
        <v>1</v>
      </c>
      <c r="D19" s="120" t="s">
        <v>71</v>
      </c>
    </row>
    <row r="20" spans="1:4" ht="12.75">
      <c r="A20" s="110"/>
      <c r="B20" s="110"/>
      <c r="C20" s="120"/>
      <c r="D20" s="120"/>
    </row>
    <row r="21" spans="1:2" ht="12.75">
      <c r="A21" s="110" t="s">
        <v>72</v>
      </c>
      <c r="B21" s="133">
        <v>0.12</v>
      </c>
    </row>
    <row r="24" spans="1:5" ht="15">
      <c r="A24" s="6" t="s">
        <v>21</v>
      </c>
      <c r="B24" s="41" t="s">
        <v>26</v>
      </c>
      <c r="C24" s="42" t="s">
        <v>12</v>
      </c>
      <c r="D24" s="176" t="s">
        <v>13</v>
      </c>
      <c r="E24" s="176"/>
    </row>
    <row r="25" spans="1:11" ht="12.75">
      <c r="A25" s="3"/>
      <c r="B25" s="43" t="s">
        <v>0</v>
      </c>
      <c r="C25" s="42" t="s">
        <v>9</v>
      </c>
      <c r="D25" s="176" t="s">
        <v>10</v>
      </c>
      <c r="E25" s="176"/>
      <c r="F25" s="169"/>
      <c r="G25" s="169"/>
      <c r="H25" s="169"/>
      <c r="I25" s="169"/>
      <c r="J25" s="169" t="s">
        <v>135</v>
      </c>
      <c r="K25" s="164"/>
    </row>
    <row r="26" spans="1:11" ht="12.75">
      <c r="A26" s="13" t="s">
        <v>47</v>
      </c>
      <c r="B26" s="123">
        <f>SUM('15 KVA'!B29+'30 KVA'!B29+'45 KVA'!B29+'75 KVA'!B29+'112.5 KVA'!B29+'150 KVA'!B29+'225 KVA'!B29+'300 KVA'!B29+'500 KVA'!B29)</f>
        <v>14569.320520704929</v>
      </c>
      <c r="C26" s="124">
        <f>SUM('15 KVA'!C29+'30 KVA'!C29+'45 KVA'!C29+'75 KVA'!C29+'112.5 KVA'!C29+'150 KVA'!C29+'225 KVA'!C29+'300 KVA'!C29+'500 KVA'!C29)</f>
        <v>16.179504842644956</v>
      </c>
      <c r="D26" s="173">
        <f>SUM('15 KVA'!D29+'30 KVA'!D29+'45 KVA'!D29+'75 KVA'!D29+'112.5 KVA'!D29+'150 KVA'!D29+'225 KVA'!D29+'300 KVA'!D29+'500 KVA'!D29)</f>
        <v>9.707702905586974</v>
      </c>
      <c r="E26" s="173">
        <f>SUM('15 KVA'!E29+'30 KVA'!E29+'45 KVA'!E29+'75 KVA'!E29+'112.5 KVA'!E29+'150 KVA'!E29+'225 KVA'!E29+'300 KVA'!E29+'500 KVA'!E29)</f>
        <v>0</v>
      </c>
      <c r="F26" s="169">
        <v>2010</v>
      </c>
      <c r="G26" s="170">
        <f>SUM(B28)</f>
        <v>4461.074152319372</v>
      </c>
      <c r="H26" s="170">
        <f>SUM(B28)</f>
        <v>4461.074152319372</v>
      </c>
      <c r="I26" s="169"/>
      <c r="J26" s="171">
        <f>SUM(B21)</f>
        <v>0.12</v>
      </c>
      <c r="K26" s="164"/>
    </row>
    <row r="27" spans="1:11" ht="12.75">
      <c r="A27" s="13" t="s">
        <v>45</v>
      </c>
      <c r="B27" s="123">
        <f>SUM('15 KVA'!B30+'30 KVA'!B30+'45 KVA'!B30+'75 KVA'!B30+'112.5 KVA'!B30+'150 KVA'!B30+'225 KVA'!B30+'300 KVA'!B30+'500 KVA'!B30)</f>
        <v>10108.246368385557</v>
      </c>
      <c r="C27" s="122">
        <f>SUM('15 KVA'!C30+'30 KVA'!C30+'45 KVA'!C30+'75 KVA'!C30+'112.5 KVA'!C30+'150 KVA'!C30+'225 KVA'!C30+'300 KVA'!C30+'500 KVA'!C30)</f>
        <v>11.225397974841814</v>
      </c>
      <c r="D27" s="173">
        <f>SUM('15 KVA'!D30+'30 KVA'!D30+'45 KVA'!D30+'75 KVA'!D30+'112.5 KVA'!D30+'150 KVA'!D30+'225 KVA'!D30+'300 KVA'!D30+'500 KVA'!D30)</f>
        <v>6.735238784905088</v>
      </c>
      <c r="E27" s="173">
        <f>SUM('15 KVA'!E30+'30 KVA'!E30+'45 KVA'!E30+'75 KVA'!E30+'112.5 KVA'!E30+'150 KVA'!E30+'225 KVA'!E30+'300 KVA'!E30+'500 KVA'!E30)</f>
        <v>0</v>
      </c>
      <c r="F27" s="169">
        <v>2011</v>
      </c>
      <c r="G27" s="170">
        <f>SUM(G26+G26*B44)</f>
        <v>4643.978192564467</v>
      </c>
      <c r="H27" s="170">
        <f>SUM(H26+H26*$B44)</f>
        <v>4643.978192564467</v>
      </c>
      <c r="I27" s="169"/>
      <c r="J27" s="171">
        <f>SUM(J26+J26*$B44)</f>
        <v>0.12491999999999999</v>
      </c>
      <c r="K27" s="164"/>
    </row>
    <row r="28" spans="1:11" ht="14.25">
      <c r="A28" s="48" t="s">
        <v>44</v>
      </c>
      <c r="B28" s="49">
        <f>B26-B27</f>
        <v>4461.074152319372</v>
      </c>
      <c r="C28" s="122">
        <f>SUM(C26-C27)</f>
        <v>4.954106867803143</v>
      </c>
      <c r="D28" s="173">
        <f>SUM(D26-D27)</f>
        <v>2.9724641206818854</v>
      </c>
      <c r="E28" s="173"/>
      <c r="F28" s="169">
        <v>2012</v>
      </c>
      <c r="G28" s="170">
        <f>SUM(G27+G27*B44)</f>
        <v>4834.38129845961</v>
      </c>
      <c r="H28" s="170">
        <f>SUM(H27+H27*B44)</f>
        <v>4834.38129845961</v>
      </c>
      <c r="I28" s="169"/>
      <c r="J28" s="171">
        <f>SUM(J27+J27*$B44)</f>
        <v>0.13004172</v>
      </c>
      <c r="K28" s="164"/>
    </row>
    <row r="29" spans="1:11" ht="12.75">
      <c r="A29" s="3"/>
      <c r="B29" s="3"/>
      <c r="C29" s="51" t="s">
        <v>58</v>
      </c>
      <c r="D29" s="52" t="s">
        <v>58</v>
      </c>
      <c r="E29" s="53"/>
      <c r="F29" s="169">
        <v>2013</v>
      </c>
      <c r="G29" s="170">
        <f>SUM(G28+G28*$B44)</f>
        <v>5032.5909316964535</v>
      </c>
      <c r="H29" s="170">
        <f>SUM(H28+H28*$B44)</f>
        <v>5032.5909316964535</v>
      </c>
      <c r="I29" s="169"/>
      <c r="J29" s="171">
        <f>SUM(J28+J28*$B44)</f>
        <v>0.13537343052</v>
      </c>
      <c r="K29" s="164"/>
    </row>
    <row r="30" spans="1:11" ht="15">
      <c r="A30" s="55" t="s">
        <v>38</v>
      </c>
      <c r="B30" s="56">
        <f>SUM('15 KVA'!B33+'30 KVA'!B33+'45 KVA'!B33+'75 KVA'!B33+'112.5 KVA'!B33+'150 KVA'!B33+'225 KVA'!B33+'300 KVA'!B33+'500 KVA'!B33)</f>
        <v>32221.51106819164</v>
      </c>
      <c r="C30" s="57" t="s">
        <v>33</v>
      </c>
      <c r="D30" s="58"/>
      <c r="E30" s="54"/>
      <c r="F30" s="169">
        <v>2014</v>
      </c>
      <c r="G30" s="170">
        <f>SUM(G29+G29*$B44)</f>
        <v>5238.927159896008</v>
      </c>
      <c r="H30" s="170">
        <f>SUM(H29+H29*$B44)</f>
        <v>5238.927159896008</v>
      </c>
      <c r="I30" s="169"/>
      <c r="J30" s="171">
        <f>SUM(J29+J29*$B44)</f>
        <v>0.14092374117132</v>
      </c>
      <c r="K30" s="164"/>
    </row>
    <row r="31" spans="1:11" ht="14.25">
      <c r="A31" s="59" t="s">
        <v>31</v>
      </c>
      <c r="B31" s="60">
        <f>C28/3.52</f>
        <v>1.4074167238077109</v>
      </c>
      <c r="C31" s="61" t="s">
        <v>34</v>
      </c>
      <c r="D31" s="62"/>
      <c r="E31" s="54"/>
      <c r="F31" s="169">
        <v>2015</v>
      </c>
      <c r="G31" s="170">
        <f>SUM(G30+G30*$B44)</f>
        <v>5453.723173451744</v>
      </c>
      <c r="H31" s="170">
        <f>SUM(H30+H30*$B44)</f>
        <v>5453.723173451744</v>
      </c>
      <c r="I31" s="169"/>
      <c r="J31" s="171">
        <f>SUM(J30+J30*$B44)</f>
        <v>0.14670161455934413</v>
      </c>
      <c r="K31" s="164"/>
    </row>
    <row r="32" spans="1:11" ht="12.75">
      <c r="A32" s="63" t="s">
        <v>37</v>
      </c>
      <c r="B32" s="64">
        <f>D28/3.52</f>
        <v>0.8444500342846265</v>
      </c>
      <c r="C32" s="61" t="s">
        <v>35</v>
      </c>
      <c r="D32" s="62"/>
      <c r="E32" s="54"/>
      <c r="F32" s="169">
        <v>2016</v>
      </c>
      <c r="G32" s="170">
        <f>SUM(G31+G31*$B44)</f>
        <v>5677.325823563265</v>
      </c>
      <c r="H32" s="170">
        <f>SUM(H31+H31*$B44)</f>
        <v>5677.325823563265</v>
      </c>
      <c r="I32" s="169"/>
      <c r="J32" s="171">
        <f>SUM(J31+J31*$B44)</f>
        <v>0.15271638075627725</v>
      </c>
      <c r="K32" s="164"/>
    </row>
    <row r="33" spans="1:11" ht="12.75">
      <c r="A33" s="65"/>
      <c r="B33" s="65"/>
      <c r="C33" s="66"/>
      <c r="D33" s="67"/>
      <c r="E33" s="54"/>
      <c r="F33" s="169">
        <v>2017</v>
      </c>
      <c r="G33" s="170">
        <f>SUM(G32+G32*$B44)</f>
        <v>5910.096182329358</v>
      </c>
      <c r="H33" s="170">
        <f>SUM(H32+H32*$B44)</f>
        <v>5910.096182329358</v>
      </c>
      <c r="I33" s="169"/>
      <c r="J33" s="171">
        <f>SUM(J32+J32*$B44)</f>
        <v>0.15897775236728462</v>
      </c>
      <c r="K33" s="164"/>
    </row>
    <row r="34" spans="1:11" ht="14.25">
      <c r="A34" s="68" t="s">
        <v>23</v>
      </c>
      <c r="B34" s="69">
        <v>0</v>
      </c>
      <c r="C34" s="66"/>
      <c r="D34" s="67"/>
      <c r="E34" s="51"/>
      <c r="F34" s="169">
        <v>2018</v>
      </c>
      <c r="G34" s="170">
        <f>SUM(G33+G33*$B44)</f>
        <v>6152.410125804862</v>
      </c>
      <c r="H34" s="170">
        <f>SUM(H33+H33*$B44)</f>
        <v>6152.410125804862</v>
      </c>
      <c r="I34" s="169"/>
      <c r="J34" s="171">
        <f>SUM(J33+J33*$B44)</f>
        <v>0.1654958402143433</v>
      </c>
      <c r="K34" s="164"/>
    </row>
    <row r="35" spans="1:11" ht="15.75">
      <c r="A35" s="70"/>
      <c r="B35" s="71"/>
      <c r="C35" s="174" t="s">
        <v>32</v>
      </c>
      <c r="D35" s="175"/>
      <c r="E35" s="3"/>
      <c r="F35" s="169">
        <v>2019</v>
      </c>
      <c r="G35" s="170">
        <f>SUM(G34+G34*$B44)</f>
        <v>6404.658940962861</v>
      </c>
      <c r="H35" s="170">
        <f>SUM(H34+H34*$B44)</f>
        <v>6404.658940962861</v>
      </c>
      <c r="I35" s="169"/>
      <c r="J35" s="171">
        <f>SUM(J34+J34*$B44)</f>
        <v>0.17228116966313137</v>
      </c>
      <c r="K35" s="164"/>
    </row>
    <row r="36" spans="1:11" ht="15">
      <c r="A36" s="73" t="s">
        <v>30</v>
      </c>
      <c r="B36" s="74" t="s">
        <v>25</v>
      </c>
      <c r="C36" s="74" t="s">
        <v>42</v>
      </c>
      <c r="D36" s="75" t="s">
        <v>46</v>
      </c>
      <c r="E36" s="3"/>
      <c r="F36" s="169">
        <v>2020</v>
      </c>
      <c r="G36" s="170">
        <f>SUM(G35+G35*$B44)</f>
        <v>6667.249957542339</v>
      </c>
      <c r="H36" s="170">
        <f>SUM(H35+H35*$B44)</f>
        <v>6667.249957542339</v>
      </c>
      <c r="I36" s="169"/>
      <c r="J36" s="171">
        <f>SUM(J35+J35*$B44)</f>
        <v>0.17934469761931976</v>
      </c>
      <c r="K36" s="164"/>
    </row>
    <row r="37" spans="1:11" ht="14.25">
      <c r="A37" s="76" t="s">
        <v>28</v>
      </c>
      <c r="B37" s="123">
        <f>SUM('15 KVA'!B40+'30 KVA'!B40+'45 KVA'!B40+'75 KVA'!B40+'112.5 KVA'!B40+'150 KVA'!B40+'225 KVA'!B40+'300 KVA'!B40+'500 KVA'!B40)</f>
        <v>56675</v>
      </c>
      <c r="C37" s="78">
        <f>30*(B34+B26)</f>
        <v>437079.61562114785</v>
      </c>
      <c r="D37" s="78">
        <f>50*(B34+B26)</f>
        <v>728466.0260352464</v>
      </c>
      <c r="E37" s="3"/>
      <c r="F37" s="169">
        <v>2021</v>
      </c>
      <c r="G37" s="170">
        <f>SUM(G36+G36*$B44)</f>
        <v>6940.607205801575</v>
      </c>
      <c r="H37" s="170">
        <f>SUM(H36+H36*$B44)</f>
        <v>6940.607205801575</v>
      </c>
      <c r="I37" s="169"/>
      <c r="J37" s="171">
        <f>SUM(J36+J36*$B44)</f>
        <v>0.18669783022171188</v>
      </c>
      <c r="K37" s="164"/>
    </row>
    <row r="38" spans="1:11" ht="15" thickBot="1">
      <c r="A38" s="76" t="s">
        <v>45</v>
      </c>
      <c r="B38" s="123">
        <f>SUM('15 KVA'!B41+'30 KVA'!B41+'45 KVA'!B41+'75 KVA'!B41+'112.5 KVA'!B41+'150 KVA'!B41+'225 KVA'!B41+'300 KVA'!B41+'500 KVA'!B41)</f>
        <v>68202</v>
      </c>
      <c r="C38" s="79">
        <f>30*B27</f>
        <v>303247.3910515667</v>
      </c>
      <c r="D38" s="79">
        <f>50*B27</f>
        <v>505412.31841927784</v>
      </c>
      <c r="E38" s="80" t="s">
        <v>58</v>
      </c>
      <c r="F38" s="169">
        <v>2022</v>
      </c>
      <c r="G38" s="170">
        <f>SUM(G37+G37*$B44)</f>
        <v>7225.17210123944</v>
      </c>
      <c r="H38" s="170">
        <f>SUM(H37+H37*$B44)</f>
        <v>7225.17210123944</v>
      </c>
      <c r="I38" s="169"/>
      <c r="J38" s="171">
        <f>SUM(J37+J37*$B44)</f>
        <v>0.19435244126080206</v>
      </c>
      <c r="K38" s="164"/>
    </row>
    <row r="39" spans="1:11" ht="15" thickBot="1">
      <c r="A39" s="81" t="s">
        <v>29</v>
      </c>
      <c r="B39" s="82">
        <f>B37-B38</f>
        <v>-11527</v>
      </c>
      <c r="C39" s="83">
        <f>C37-C38</f>
        <v>133832.22456958116</v>
      </c>
      <c r="D39" s="84">
        <f>D37-D38</f>
        <v>223053.7076159686</v>
      </c>
      <c r="E39" s="3"/>
      <c r="F39" s="169">
        <v>2023</v>
      </c>
      <c r="G39" s="170">
        <f>SUM(G38+G38*$B44)</f>
        <v>7521.404157390257</v>
      </c>
      <c r="H39" s="170">
        <f>SUM(H38+H38*$B44)</f>
        <v>7521.404157390257</v>
      </c>
      <c r="I39" s="169"/>
      <c r="J39" s="171">
        <f>SUM(J38+J38*$B44)</f>
        <v>0.20232089135249495</v>
      </c>
      <c r="K39" s="164"/>
    </row>
    <row r="40" spans="1:11" ht="12.75">
      <c r="A40" s="76" t="s">
        <v>22</v>
      </c>
      <c r="B40" s="85">
        <f>(B38-B37)/(B28)</f>
        <v>2.583906836430181</v>
      </c>
      <c r="C40" s="86" t="s">
        <v>50</v>
      </c>
      <c r="D40" s="3"/>
      <c r="E40" s="3"/>
      <c r="F40" s="169">
        <v>2024</v>
      </c>
      <c r="G40" s="170">
        <f>SUM(G39+G39*$B44)</f>
        <v>7829.781727843258</v>
      </c>
      <c r="H40" s="170">
        <f>SUM(H39+H39*$B44)</f>
        <v>7829.781727843258</v>
      </c>
      <c r="I40" s="169"/>
      <c r="J40" s="171">
        <f>SUM(J39+J39*$B44)</f>
        <v>0.21061604789794725</v>
      </c>
      <c r="K40" s="164"/>
    </row>
    <row r="41" spans="6:11" ht="12.75">
      <c r="F41" s="169">
        <v>2025</v>
      </c>
      <c r="G41" s="170">
        <f>SUM(G40+G40*$B44)</f>
        <v>8150.8027786848315</v>
      </c>
      <c r="H41" s="170">
        <f>SUM(H40+H40*$B44)</f>
        <v>8150.8027786848315</v>
      </c>
      <c r="I41" s="169"/>
      <c r="J41" s="171">
        <f>SUM(J40+J40*$B44)</f>
        <v>0.21925130586176309</v>
      </c>
      <c r="K41" s="164"/>
    </row>
    <row r="42" spans="6:11" ht="12.75">
      <c r="F42" s="169"/>
      <c r="G42" s="170"/>
      <c r="H42" s="170"/>
      <c r="I42" s="169"/>
      <c r="J42" s="171"/>
      <c r="K42" s="164"/>
    </row>
    <row r="43" spans="6:11" ht="12.75">
      <c r="F43" s="169"/>
      <c r="G43" s="170"/>
      <c r="H43" s="170"/>
      <c r="I43" s="169"/>
      <c r="J43" s="171"/>
      <c r="K43" s="164"/>
    </row>
    <row r="44" spans="1:11" ht="15" thickBot="1">
      <c r="A44" s="165" t="s">
        <v>136</v>
      </c>
      <c r="B44" s="166">
        <v>0.041</v>
      </c>
      <c r="C44" s="74" t="s">
        <v>42</v>
      </c>
      <c r="D44" s="75" t="s">
        <v>46</v>
      </c>
      <c r="F44" s="169">
        <v>2026</v>
      </c>
      <c r="G44" s="170">
        <f>SUM(G41+G41*$B44)</f>
        <v>8484.98569261091</v>
      </c>
      <c r="H44" s="170">
        <f>SUM(H41+H41*$B44)</f>
        <v>8484.98569261091</v>
      </c>
      <c r="I44" s="169"/>
      <c r="J44" s="171">
        <f>SUM(J41+J41*$B44)</f>
        <v>0.22824060940209537</v>
      </c>
      <c r="K44" s="164"/>
    </row>
    <row r="45" spans="1:11" ht="15" thickBot="1">
      <c r="A45" s="81" t="s">
        <v>29</v>
      </c>
      <c r="C45" s="167">
        <f>SUM(I59)</f>
        <v>254419.7672296771</v>
      </c>
      <c r="D45" s="167">
        <f>SUM(I79)</f>
        <v>702513.0873165578</v>
      </c>
      <c r="F45" s="169">
        <v>2027</v>
      </c>
      <c r="G45" s="170">
        <f>SUM(G44+G44*$B44)</f>
        <v>8832.870106007957</v>
      </c>
      <c r="H45" s="170">
        <f>SUM(H44+H44*$B44)</f>
        <v>8832.870106007957</v>
      </c>
      <c r="I45" s="169"/>
      <c r="J45" s="171">
        <f>SUM(J44+J44*$B44)</f>
        <v>0.23759847438758128</v>
      </c>
      <c r="K45" s="164"/>
    </row>
    <row r="46" spans="1:11" ht="15.75">
      <c r="A46" s="165" t="s">
        <v>137</v>
      </c>
      <c r="B46" s="85">
        <f>(B38-B37)/(C47)</f>
        <v>1.359210425217552</v>
      </c>
      <c r="C46" s="86" t="s">
        <v>50</v>
      </c>
      <c r="E46" s="92"/>
      <c r="F46" s="169">
        <v>2028</v>
      </c>
      <c r="G46" s="170">
        <f>SUM(G45+G45*$B44)</f>
        <v>9195.017780354283</v>
      </c>
      <c r="H46" s="170">
        <f>SUM(H45+H45*$B44)</f>
        <v>9195.017780354283</v>
      </c>
      <c r="I46" s="169"/>
      <c r="J46" s="171">
        <f>SUM(J45+J45*$B44)</f>
        <v>0.24734001183747212</v>
      </c>
      <c r="K46" s="164"/>
    </row>
    <row r="47" spans="3:11" ht="12.75">
      <c r="C47" s="168">
        <f>SUM(C45/30)</f>
        <v>8480.658907655903</v>
      </c>
      <c r="F47" s="169">
        <v>2029</v>
      </c>
      <c r="G47" s="170">
        <f>SUM(G46+G46*$B44)</f>
        <v>9572.013509348808</v>
      </c>
      <c r="H47" s="170">
        <f>SUM(H46+H46*$B44)</f>
        <v>9572.013509348808</v>
      </c>
      <c r="I47" s="169"/>
      <c r="J47" s="171">
        <f>SUM(J46+J46*$B44)</f>
        <v>0.2574809523228085</v>
      </c>
      <c r="K47" s="164"/>
    </row>
    <row r="48" spans="6:11" ht="12.75">
      <c r="F48" s="169"/>
      <c r="G48" s="170"/>
      <c r="H48" s="170"/>
      <c r="I48" s="169"/>
      <c r="J48" s="171"/>
      <c r="K48" s="164"/>
    </row>
    <row r="49" spans="1:11" ht="15.75">
      <c r="A49" s="73" t="s">
        <v>15</v>
      </c>
      <c r="B49" s="93"/>
      <c r="C49" s="93"/>
      <c r="D49" s="93"/>
      <c r="F49" s="169"/>
      <c r="G49" s="170"/>
      <c r="H49" s="170"/>
      <c r="I49" s="169"/>
      <c r="J49" s="171"/>
      <c r="K49" s="164"/>
    </row>
    <row r="50" spans="1:11" ht="12.75">
      <c r="A50" s="139" t="s">
        <v>16</v>
      </c>
      <c r="B50" s="125">
        <f>SUM('15 KVA'!B53+'30 KVA'!B53+'45 KVA'!B53+'75 KVA'!B53+'112.5 KVA'!B53+'150 KVA'!B53+'225 KVA'!B53+'300 KVA'!B53+'500 KVA'!B53)</f>
        <v>23.779475168325433</v>
      </c>
      <c r="C50" s="136" t="s">
        <v>17</v>
      </c>
      <c r="D50" s="137">
        <f>SUM('15 KVA'!D53+'30 KVA'!D53+'45 KVA'!D53+'75 KVA'!D53+'112.5 KVA'!D53+'150 KVA'!D53+'225 KVA'!D53+'300 KVA'!D53+'500 KVA'!D53)</f>
        <v>186.43366304055684</v>
      </c>
      <c r="E50" s="136" t="s">
        <v>18</v>
      </c>
      <c r="F50" s="169">
        <v>2030</v>
      </c>
      <c r="G50" s="170">
        <f>SUM(G47+G47*$B44)</f>
        <v>9964.466063232108</v>
      </c>
      <c r="H50" s="170">
        <f>SUM(H47+H47*$B44)</f>
        <v>9964.466063232108</v>
      </c>
      <c r="I50" s="169"/>
      <c r="J50" s="171">
        <f>SUM(J47+J47*$B44)</f>
        <v>0.26803767136804363</v>
      </c>
      <c r="K50" s="164"/>
    </row>
    <row r="51" spans="1:11" ht="12.75">
      <c r="A51" s="134" t="s">
        <v>19</v>
      </c>
      <c r="B51" s="137">
        <f>SUM('15 KVA'!B54+'30 KVA'!B54+'45 KVA'!B54+'75 KVA'!B54+'112.5 KVA'!B54+'150 KVA'!B54+'225 KVA'!B54+'300 KVA'!B54+'500 KVA'!B54)</f>
        <v>77.05143951089306</v>
      </c>
      <c r="C51" s="135" t="s">
        <v>75</v>
      </c>
      <c r="D51" s="137">
        <f>SUM('15 KVA'!D54+'30 KVA'!D54+'45 KVA'!D54+'75 KVA'!D54+'112.5 KVA'!D54+'150 KVA'!D54+'225 KVA'!D54+'300 KVA'!D54+'500 KVA'!D54)</f>
        <v>80.26378407086538</v>
      </c>
      <c r="E51" s="136" t="s">
        <v>20</v>
      </c>
      <c r="F51" s="169">
        <v>2031</v>
      </c>
      <c r="G51" s="170">
        <f>SUM(G50+G50*$B44)</f>
        <v>10373.009171824624</v>
      </c>
      <c r="H51" s="170">
        <f>SUM(H50+H50*$B44)</f>
        <v>10373.009171824624</v>
      </c>
      <c r="I51" s="169"/>
      <c r="J51" s="171">
        <f>SUM(J50+J50*$B44)</f>
        <v>0.27902721589413343</v>
      </c>
      <c r="K51" s="164"/>
    </row>
    <row r="52" spans="6:11" ht="12.75">
      <c r="F52" s="169">
        <v>2032</v>
      </c>
      <c r="G52" s="170">
        <f>SUM(G51+G51*$B44)</f>
        <v>10798.302547869434</v>
      </c>
      <c r="H52" s="170">
        <f>SUM(H51+H51*$B44)</f>
        <v>10798.302547869434</v>
      </c>
      <c r="I52" s="169"/>
      <c r="J52" s="171">
        <f>SUM(J51+J51*$B44)</f>
        <v>0.2904673317457929</v>
      </c>
      <c r="K52" s="164"/>
    </row>
    <row r="53" spans="1:11" ht="15">
      <c r="A53" s="142" t="s">
        <v>73</v>
      </c>
      <c r="F53" s="169">
        <v>2033</v>
      </c>
      <c r="G53" s="170">
        <f>SUM(G52+G52*$B44)</f>
        <v>11241.032952332082</v>
      </c>
      <c r="H53" s="170">
        <f>SUM(H52+H52*$B44)</f>
        <v>11241.032952332082</v>
      </c>
      <c r="I53" s="169"/>
      <c r="J53" s="171">
        <f>SUM(J52+J52*$B44)</f>
        <v>0.3023764923473704</v>
      </c>
      <c r="K53" s="164"/>
    </row>
    <row r="54" spans="1:11" ht="12.75">
      <c r="A54" s="140" t="s">
        <v>74</v>
      </c>
      <c r="B54" s="138">
        <f>SUM(B50*30)</f>
        <v>713.3842550497629</v>
      </c>
      <c r="C54" s="136" t="s">
        <v>17</v>
      </c>
      <c r="D54" s="138">
        <f>SUM(D50*30)</f>
        <v>5593.009891216705</v>
      </c>
      <c r="E54" s="136" t="s">
        <v>18</v>
      </c>
      <c r="F54" s="169">
        <v>2034</v>
      </c>
      <c r="G54" s="170">
        <f>SUM(G53+G53*$B44)</f>
        <v>11701.915303377697</v>
      </c>
      <c r="H54" s="170">
        <f>SUM(H53+H53*$B44)</f>
        <v>11701.915303377697</v>
      </c>
      <c r="I54" s="169"/>
      <c r="J54" s="171">
        <f>SUM(J53+J53*$B44)</f>
        <v>0.3147739285336126</v>
      </c>
      <c r="K54" s="164"/>
    </row>
    <row r="55" spans="1:11" ht="12.75">
      <c r="A55" s="141" t="s">
        <v>19</v>
      </c>
      <c r="B55" s="138">
        <f>SUM(B51*30)</f>
        <v>2311.543185326792</v>
      </c>
      <c r="C55" s="135" t="s">
        <v>75</v>
      </c>
      <c r="D55" s="138">
        <f>SUM(D51*30)</f>
        <v>2407.9135221259617</v>
      </c>
      <c r="E55" s="136" t="s">
        <v>20</v>
      </c>
      <c r="F55" s="169">
        <v>2035</v>
      </c>
      <c r="G55" s="170">
        <f>SUM(G54+G54*$B44)</f>
        <v>12181.693830816183</v>
      </c>
      <c r="H55" s="170">
        <f>SUM(H54+H54*$B44)</f>
        <v>12181.693830816183</v>
      </c>
      <c r="I55" s="169"/>
      <c r="J55" s="171">
        <f>SUM(J54+J54*$B44)</f>
        <v>0.3276796596034907</v>
      </c>
      <c r="K55" s="164"/>
    </row>
    <row r="56" spans="6:11" ht="12.75">
      <c r="F56" s="169">
        <v>2036</v>
      </c>
      <c r="G56" s="170">
        <f>SUM(G55+G55*$B44)</f>
        <v>12681.143277879646</v>
      </c>
      <c r="H56" s="170">
        <f>SUM(H55+H55*$B44)</f>
        <v>12681.143277879646</v>
      </c>
      <c r="I56" s="169"/>
      <c r="J56" s="171">
        <f>SUM(J55+J55*$B44)</f>
        <v>0.3411145256472338</v>
      </c>
      <c r="K56" s="164"/>
    </row>
    <row r="57" spans="6:11" ht="12.75">
      <c r="F57" s="169">
        <v>2037</v>
      </c>
      <c r="G57" s="170">
        <f>SUM(G56+G56*$B44)</f>
        <v>13201.070152272712</v>
      </c>
      <c r="H57" s="170">
        <f>SUM(H56+H56*$B44)</f>
        <v>13201.070152272712</v>
      </c>
      <c r="I57" s="169"/>
      <c r="J57" s="171">
        <f>SUM(J56+J56*$B44)</f>
        <v>0.3551002211987704</v>
      </c>
      <c r="K57" s="164"/>
    </row>
    <row r="58" spans="6:11" ht="12.75">
      <c r="F58" s="169">
        <v>2038</v>
      </c>
      <c r="G58" s="170">
        <f>SUM(G57+G57*$B44)</f>
        <v>13742.314028515893</v>
      </c>
      <c r="H58" s="170">
        <f>SUM(H57+H57*$B44)</f>
        <v>13742.314028515893</v>
      </c>
      <c r="I58" s="169"/>
      <c r="J58" s="171">
        <f>SUM(J57+J57*$B44)</f>
        <v>0.36965933026791997</v>
      </c>
      <c r="K58" s="164"/>
    </row>
    <row r="59" spans="6:11" ht="12.75">
      <c r="F59" s="169">
        <v>2039</v>
      </c>
      <c r="G59" s="170">
        <f>SUM(G58+G58*$B44)</f>
        <v>14305.748903685046</v>
      </c>
      <c r="H59" s="170">
        <f>SUM(H58+H58*$B44)</f>
        <v>14305.748903685046</v>
      </c>
      <c r="I59" s="170">
        <f>SUM(G26:G59)</f>
        <v>254419.7672296771</v>
      </c>
      <c r="J59" s="171">
        <f>SUM(J58+J58*$B44)</f>
        <v>0.3848153628089047</v>
      </c>
      <c r="K59" s="164"/>
    </row>
    <row r="60" spans="6:11" ht="12.75">
      <c r="F60" s="169">
        <v>2040</v>
      </c>
      <c r="G60" s="170" t="s">
        <v>58</v>
      </c>
      <c r="H60" s="170">
        <f>SUM(H59+H59*$B44)</f>
        <v>14892.284608736132</v>
      </c>
      <c r="I60" s="169"/>
      <c r="J60" s="171">
        <f>SUM(J59+J59*$B44)</f>
        <v>0.40059279268406983</v>
      </c>
      <c r="K60" s="164"/>
    </row>
    <row r="61" spans="6:11" ht="12.75">
      <c r="F61" s="169">
        <v>2041</v>
      </c>
      <c r="G61" s="169"/>
      <c r="H61" s="170">
        <f>SUM(H60+H60*$B44)</f>
        <v>15502.868277694313</v>
      </c>
      <c r="I61" s="169"/>
      <c r="J61" s="171">
        <f>SUM(J60+J60*$B44)</f>
        <v>0.41701709718411667</v>
      </c>
      <c r="K61" s="164"/>
    </row>
    <row r="62" spans="6:11" ht="12.75">
      <c r="F62" s="169">
        <v>2042</v>
      </c>
      <c r="G62" s="169"/>
      <c r="H62" s="170">
        <f>SUM(H61+H61*$B44)</f>
        <v>16138.48587707978</v>
      </c>
      <c r="I62" s="169"/>
      <c r="J62" s="171">
        <f>SUM(J61+J61*$B44)</f>
        <v>0.43411479816866544</v>
      </c>
      <c r="K62" s="164"/>
    </row>
    <row r="63" spans="6:11" ht="12.75">
      <c r="F63" s="169">
        <v>2043</v>
      </c>
      <c r="G63" s="169"/>
      <c r="H63" s="170">
        <f>SUM(H62+H62*$B44)</f>
        <v>16800.163798040052</v>
      </c>
      <c r="I63" s="169"/>
      <c r="J63" s="171">
        <f>SUM(J62+J62*$B44)</f>
        <v>0.45191350489358073</v>
      </c>
      <c r="K63" s="164"/>
    </row>
    <row r="64" spans="6:11" ht="12.75">
      <c r="F64" s="169">
        <v>2044</v>
      </c>
      <c r="G64" s="169"/>
      <c r="H64" s="170">
        <f>SUM(H63+H63*$B44)</f>
        <v>17488.970513759694</v>
      </c>
      <c r="I64" s="169"/>
      <c r="J64" s="171">
        <f>SUM(J63+J63*$B44)</f>
        <v>0.47044195859421756</v>
      </c>
      <c r="K64" s="164"/>
    </row>
    <row r="65" spans="6:11" ht="12.75">
      <c r="F65" s="169">
        <v>2045</v>
      </c>
      <c r="G65" s="169"/>
      <c r="H65" s="170">
        <f>SUM(H64+H64*$B44)</f>
        <v>18206.01830482384</v>
      </c>
      <c r="I65" s="169"/>
      <c r="J65" s="171">
        <f>SUM(J64+J64*$B44)</f>
        <v>0.4897300788965805</v>
      </c>
      <c r="K65" s="164"/>
    </row>
    <row r="66" spans="6:11" ht="12.75">
      <c r="F66" s="169">
        <v>2046</v>
      </c>
      <c r="G66" s="169"/>
      <c r="H66" s="170">
        <f>SUM(H65+H65*$B44)</f>
        <v>18952.465055321616</v>
      </c>
      <c r="I66" s="169"/>
      <c r="J66" s="171">
        <f>SUM(J65+J65*$B44)</f>
        <v>0.5098090121313403</v>
      </c>
      <c r="K66" s="164"/>
    </row>
    <row r="67" spans="6:11" ht="12.75">
      <c r="F67" s="169">
        <v>2047</v>
      </c>
      <c r="G67" s="169"/>
      <c r="H67" s="170">
        <f>SUM(H66+H66*$B44)</f>
        <v>19729.5161225898</v>
      </c>
      <c r="I67" s="169"/>
      <c r="J67" s="171">
        <f>SUM(J66+J66*$B44)</f>
        <v>0.5307111816287253</v>
      </c>
      <c r="K67" s="164"/>
    </row>
    <row r="68" spans="6:11" ht="12.75">
      <c r="F68" s="169">
        <v>2048</v>
      </c>
      <c r="G68" s="169"/>
      <c r="H68" s="170">
        <f>SUM(H67+H67*$B44)</f>
        <v>20538.426283615983</v>
      </c>
      <c r="I68" s="169"/>
      <c r="J68" s="171">
        <f>SUM(J67+J67*$B44)</f>
        <v>0.5524703400755031</v>
      </c>
      <c r="K68" s="164"/>
    </row>
    <row r="69" spans="6:11" ht="12.75">
      <c r="F69" s="169">
        <v>2049</v>
      </c>
      <c r="G69" s="169"/>
      <c r="H69" s="170">
        <f>SUM(H68+H68*$B44)</f>
        <v>21380.50176124424</v>
      </c>
      <c r="I69" s="169"/>
      <c r="J69" s="171">
        <f>SUM(J68+J68*$B44)</f>
        <v>0.5751216240185988</v>
      </c>
      <c r="K69" s="164"/>
    </row>
    <row r="70" spans="6:11" ht="12.75">
      <c r="F70" s="169">
        <v>2050</v>
      </c>
      <c r="G70" s="169"/>
      <c r="H70" s="170">
        <f>SUM(H69+H69*$B44)</f>
        <v>22257.102333455252</v>
      </c>
      <c r="I70" s="169"/>
      <c r="J70" s="171">
        <f>SUM(J69+J69*$B44)</f>
        <v>0.5987016106033614</v>
      </c>
      <c r="K70" s="164"/>
    </row>
    <row r="71" spans="6:11" ht="12.75">
      <c r="F71" s="169">
        <v>2051</v>
      </c>
      <c r="G71" s="169"/>
      <c r="H71" s="170">
        <f>SUM(H70+H70*$B44)</f>
        <v>23169.64352912692</v>
      </c>
      <c r="I71" s="169"/>
      <c r="J71" s="171">
        <f>SUM(J70+J70*$B44)</f>
        <v>0.6232483766380992</v>
      </c>
      <c r="K71" s="164"/>
    </row>
    <row r="72" spans="6:11" ht="12.75">
      <c r="F72" s="169">
        <v>2052</v>
      </c>
      <c r="G72" s="169"/>
      <c r="H72" s="170">
        <f>SUM(H71+H71*$B44)</f>
        <v>24119.598913821123</v>
      </c>
      <c r="I72" s="169"/>
      <c r="J72" s="171">
        <f>SUM(J71+J71*$B44)</f>
        <v>0.6488015600802612</v>
      </c>
      <c r="K72" s="164"/>
    </row>
    <row r="73" spans="6:11" ht="12.75">
      <c r="F73" s="169">
        <v>2053</v>
      </c>
      <c r="G73" s="169"/>
      <c r="H73" s="170">
        <f>SUM(H72+H72*$B44)</f>
        <v>25108.50246928779</v>
      </c>
      <c r="I73" s="169"/>
      <c r="J73" s="171">
        <f>SUM(J72+J72*$B44)</f>
        <v>0.675402424043552</v>
      </c>
      <c r="K73" s="164"/>
    </row>
    <row r="74" spans="6:11" ht="12.75">
      <c r="F74" s="169">
        <v>2054</v>
      </c>
      <c r="G74" s="169"/>
      <c r="H74" s="170">
        <f>SUM(H73+H73*$B44)</f>
        <v>26137.951070528587</v>
      </c>
      <c r="I74" s="169"/>
      <c r="J74" s="171">
        <f>SUM(J73+J73*$B44)</f>
        <v>0.7030939234293376</v>
      </c>
      <c r="K74" s="164"/>
    </row>
    <row r="75" spans="6:11" ht="12.75">
      <c r="F75" s="169">
        <v>2056</v>
      </c>
      <c r="G75" s="169"/>
      <c r="H75" s="170">
        <f>SUM(H74+H74*$B44)</f>
        <v>27209.60706442026</v>
      </c>
      <c r="I75" s="169"/>
      <c r="J75" s="171">
        <f>SUM(J74+J74*$B44)</f>
        <v>0.7319207742899405</v>
      </c>
      <c r="K75" s="164"/>
    </row>
    <row r="76" spans="6:11" ht="12.75">
      <c r="F76" s="169">
        <v>2057</v>
      </c>
      <c r="G76" s="169"/>
      <c r="H76" s="170">
        <f>SUM(H75+H75*$B44)</f>
        <v>28325.20095406149</v>
      </c>
      <c r="I76" s="169"/>
      <c r="J76" s="171">
        <f>SUM(J75+J75*$B44)</f>
        <v>0.7619295260358281</v>
      </c>
      <c r="K76" s="164"/>
    </row>
    <row r="77" spans="6:11" ht="12.75">
      <c r="F77" s="169">
        <v>2058</v>
      </c>
      <c r="G77" s="169"/>
      <c r="H77" s="170">
        <f>SUM(H76+H76*$B44)</f>
        <v>29486.53419317801</v>
      </c>
      <c r="I77" s="169"/>
      <c r="J77" s="171">
        <f>SUM(J76+J76*$B44)</f>
        <v>0.7931686366032971</v>
      </c>
      <c r="K77" s="164"/>
    </row>
    <row r="78" spans="6:11" ht="12.75">
      <c r="F78" s="169">
        <v>2059</v>
      </c>
      <c r="G78" s="169"/>
      <c r="H78" s="170">
        <f>SUM(H77+H77*$B44)</f>
        <v>30695.48209509831</v>
      </c>
      <c r="I78" s="169"/>
      <c r="J78" s="171">
        <f>SUM(J77+J77*$B44)</f>
        <v>0.8256885507040322</v>
      </c>
      <c r="K78" s="164"/>
    </row>
    <row r="79" spans="6:11" ht="12.75">
      <c r="F79" s="169">
        <v>2060</v>
      </c>
      <c r="G79" s="169"/>
      <c r="H79" s="170">
        <f>SUM(H78+H78*$B44)</f>
        <v>31953.99686099734</v>
      </c>
      <c r="I79" s="170">
        <f>SUM(H26:H79)</f>
        <v>702513.0873165578</v>
      </c>
      <c r="J79" s="171">
        <f>SUM(J78+J78*$B44)</f>
        <v>0.8595417812828976</v>
      </c>
      <c r="K79" s="164"/>
    </row>
  </sheetData>
  <sheetProtection/>
  <mergeCells count="6">
    <mergeCell ref="D28:E28"/>
    <mergeCell ref="C35:D35"/>
    <mergeCell ref="D24:E24"/>
    <mergeCell ref="D25:E25"/>
    <mergeCell ref="D26:E26"/>
    <mergeCell ref="D27:E27"/>
  </mergeCells>
  <printOptions horizontalCentered="1"/>
  <pageMargins left="0.75" right="0.75" top="1" bottom="1" header="0.5" footer="0.5"/>
  <pageSetup fitToHeight="1" fitToWidth="1" horizontalDpi="600" verticalDpi="600" orientation="portrait" scale="74" r:id="rId4"/>
  <ignoredErrors>
    <ignoredError sqref="I59" 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6:J58"/>
  <sheetViews>
    <sheetView zoomScalePageLayoutView="0" workbookViewId="0" topLeftCell="A1">
      <selection activeCell="A4" sqref="A4:IV4"/>
    </sheetView>
  </sheetViews>
  <sheetFormatPr defaultColWidth="9.140625" defaultRowHeight="12.75"/>
  <cols>
    <col min="1" max="1" width="42.7109375" style="3" customWidth="1"/>
    <col min="2" max="2" width="15.421875" style="3" customWidth="1"/>
    <col min="3" max="3" width="16.7109375" style="3" customWidth="1"/>
    <col min="4" max="4" width="15.7109375" style="3" customWidth="1"/>
    <col min="5" max="5" width="15.57421875" style="3" customWidth="1"/>
    <col min="6" max="7" width="9.140625" style="3" customWidth="1"/>
    <col min="8" max="8" width="12.28125" style="3" customWidth="1"/>
    <col min="9" max="9" width="10.421875" style="3" customWidth="1"/>
    <col min="10" max="16384" width="9.140625" style="3" customWidth="1"/>
  </cols>
  <sheetData>
    <row r="1" ht="12.75"/>
    <row r="2" ht="12.75"/>
    <row r="3" ht="12.75"/>
    <row r="4" ht="12.75"/>
    <row r="5" ht="12.75"/>
    <row r="6" spans="1:5" ht="30">
      <c r="A6" s="2"/>
      <c r="B6" s="105" t="s">
        <v>51</v>
      </c>
      <c r="D6" s="72"/>
      <c r="E6" s="72"/>
    </row>
    <row r="7" spans="1:5" ht="15.75" customHeight="1">
      <c r="A7" s="2"/>
      <c r="B7" s="143" t="s">
        <v>76</v>
      </c>
      <c r="D7" s="72"/>
      <c r="E7" s="72"/>
    </row>
    <row r="8" spans="1:5" ht="14.25">
      <c r="A8" s="5" t="s">
        <v>48</v>
      </c>
      <c r="B8" s="108" t="s">
        <v>58</v>
      </c>
      <c r="C8" s="107"/>
      <c r="D8" s="107"/>
      <c r="E8" s="107"/>
    </row>
    <row r="9" spans="1:5" ht="14.25">
      <c r="A9" s="1" t="s">
        <v>49</v>
      </c>
      <c r="B9" s="109" t="s">
        <v>58</v>
      </c>
      <c r="C9" s="106"/>
      <c r="D9" s="106"/>
      <c r="E9" s="106"/>
    </row>
    <row r="10" spans="1:10" ht="15">
      <c r="A10" s="6" t="s">
        <v>1</v>
      </c>
      <c r="B10" s="7"/>
      <c r="C10" s="7"/>
      <c r="D10" s="181" t="s">
        <v>5</v>
      </c>
      <c r="E10" s="182"/>
      <c r="H10" s="177" t="s">
        <v>52</v>
      </c>
      <c r="I10" s="178"/>
      <c r="J10" s="172"/>
    </row>
    <row r="11" spans="1:9" ht="14.25">
      <c r="A11" s="8" t="s">
        <v>7</v>
      </c>
      <c r="B11" s="9">
        <v>0.5</v>
      </c>
      <c r="C11" s="128">
        <f>D12*E12+D13*E13+D14*E14+D15*E15+D16*E16+D17*E17+D18*E18+D19*E19+D20*E20+D21*E21+D22*E22+D23*E23+D24*E24+D25*E25+D26*E26+0.001</f>
        <v>15.001</v>
      </c>
      <c r="D11" s="11" t="s">
        <v>3</v>
      </c>
      <c r="E11" s="12" t="s">
        <v>4</v>
      </c>
      <c r="G11" s="112" t="s">
        <v>55</v>
      </c>
      <c r="H11" s="112" t="s">
        <v>53</v>
      </c>
      <c r="I11" s="112" t="s">
        <v>54</v>
      </c>
    </row>
    <row r="12" spans="1:9" ht="15" customHeight="1">
      <c r="A12" s="13" t="s">
        <v>8</v>
      </c>
      <c r="B12" s="14">
        <v>0.3</v>
      </c>
      <c r="C12" s="129" t="s">
        <v>6</v>
      </c>
      <c r="D12" s="126">
        <f>Summary!C11</f>
        <v>1</v>
      </c>
      <c r="E12" s="17">
        <v>15</v>
      </c>
      <c r="G12" s="113">
        <v>15</v>
      </c>
      <c r="H12" s="114">
        <v>0.97</v>
      </c>
      <c r="I12" s="114">
        <v>0.979</v>
      </c>
    </row>
    <row r="13" spans="1:9" ht="14.25">
      <c r="A13" s="13" t="s">
        <v>39</v>
      </c>
      <c r="B13" s="18">
        <v>12</v>
      </c>
      <c r="C13" s="130">
        <f>B17*C11</f>
        <v>14.25095</v>
      </c>
      <c r="D13" s="16">
        <v>0</v>
      </c>
      <c r="E13" s="17">
        <v>30</v>
      </c>
      <c r="G13" s="113">
        <v>30</v>
      </c>
      <c r="H13" s="114">
        <v>0.975</v>
      </c>
      <c r="I13" s="114">
        <v>0.983</v>
      </c>
    </row>
    <row r="14" spans="1:9" ht="14.25">
      <c r="A14" s="13" t="s">
        <v>40</v>
      </c>
      <c r="B14" s="18">
        <v>260</v>
      </c>
      <c r="C14" s="131"/>
      <c r="D14" s="16">
        <v>0</v>
      </c>
      <c r="E14" s="16">
        <v>45</v>
      </c>
      <c r="G14" s="115">
        <v>45</v>
      </c>
      <c r="H14" s="114">
        <v>0.977</v>
      </c>
      <c r="I14" s="114">
        <v>0.984</v>
      </c>
    </row>
    <row r="15" spans="1:9" ht="14.25">
      <c r="A15" s="13" t="s">
        <v>14</v>
      </c>
      <c r="B15" s="21">
        <f>Summary!B21</f>
        <v>0.12</v>
      </c>
      <c r="C15" s="132" t="s">
        <v>11</v>
      </c>
      <c r="D15" s="16">
        <v>0</v>
      </c>
      <c r="E15" s="17">
        <v>75</v>
      </c>
      <c r="G15" s="113">
        <v>75</v>
      </c>
      <c r="H15" s="114">
        <v>0.98</v>
      </c>
      <c r="I15" s="114">
        <v>0.986</v>
      </c>
    </row>
    <row r="16" spans="1:9" ht="14.25">
      <c r="A16" s="13" t="s">
        <v>41</v>
      </c>
      <c r="B16" s="23">
        <v>10</v>
      </c>
      <c r="C16" s="130">
        <f>B11*C13</f>
        <v>7.125475</v>
      </c>
      <c r="D16" s="16">
        <v>0</v>
      </c>
      <c r="E16" s="17">
        <v>112.5</v>
      </c>
      <c r="G16" s="113">
        <v>112.5</v>
      </c>
      <c r="H16" s="114">
        <v>0.982</v>
      </c>
      <c r="I16" s="114">
        <v>0.987</v>
      </c>
    </row>
    <row r="17" spans="1:9" ht="14.25">
      <c r="A17" s="13" t="s">
        <v>2</v>
      </c>
      <c r="B17" s="24">
        <v>0.95</v>
      </c>
      <c r="C17" s="130">
        <f>B12*C13</f>
        <v>4.275284999999999</v>
      </c>
      <c r="D17" s="16">
        <v>0</v>
      </c>
      <c r="E17" s="17">
        <v>150</v>
      </c>
      <c r="G17" s="113">
        <v>150</v>
      </c>
      <c r="H17" s="114">
        <v>0.983</v>
      </c>
      <c r="I17" s="114">
        <v>0.988</v>
      </c>
    </row>
    <row r="18" spans="1:9" ht="14.25">
      <c r="A18" s="13" t="s">
        <v>36</v>
      </c>
      <c r="B18" s="25">
        <v>1.75</v>
      </c>
      <c r="C18" s="127"/>
      <c r="D18" s="16">
        <v>0</v>
      </c>
      <c r="E18" s="17">
        <v>225</v>
      </c>
      <c r="G18" s="113">
        <v>225</v>
      </c>
      <c r="H18" s="114">
        <v>0.985</v>
      </c>
      <c r="I18" s="114">
        <v>0.99</v>
      </c>
    </row>
    <row r="19" spans="1:9" ht="12.75">
      <c r="A19" s="13"/>
      <c r="C19" s="27" t="s">
        <v>27</v>
      </c>
      <c r="D19" s="16">
        <v>0</v>
      </c>
      <c r="E19" s="17">
        <v>300</v>
      </c>
      <c r="G19" s="113">
        <v>300</v>
      </c>
      <c r="H19" s="114">
        <v>0.986</v>
      </c>
      <c r="I19" s="114">
        <v>0.99</v>
      </c>
    </row>
    <row r="20" spans="1:9" ht="14.25">
      <c r="A20" s="28" t="s">
        <v>24</v>
      </c>
      <c r="B20" s="29">
        <v>0.97</v>
      </c>
      <c r="C20" s="30">
        <v>1</v>
      </c>
      <c r="D20" s="31">
        <v>0</v>
      </c>
      <c r="E20" s="32">
        <v>500</v>
      </c>
      <c r="G20" s="113">
        <v>500</v>
      </c>
      <c r="H20" s="114">
        <v>0.987</v>
      </c>
      <c r="I20" s="114">
        <v>0.991</v>
      </c>
    </row>
    <row r="21" spans="1:9" ht="14.25">
      <c r="A21" s="28" t="s">
        <v>43</v>
      </c>
      <c r="B21" s="29">
        <v>0.979</v>
      </c>
      <c r="C21" s="26"/>
      <c r="D21" s="33"/>
      <c r="E21" s="34"/>
      <c r="G21" s="54"/>
      <c r="H21" s="50"/>
      <c r="I21" s="50"/>
    </row>
    <row r="22" spans="1:7" ht="12.75">
      <c r="A22" s="35"/>
      <c r="C22" s="26"/>
      <c r="D22" s="36"/>
      <c r="E22" s="36"/>
      <c r="G22" s="54"/>
    </row>
    <row r="23" spans="3:7" ht="12.75">
      <c r="C23" s="26"/>
      <c r="D23" s="36"/>
      <c r="E23" s="36"/>
      <c r="G23" s="54"/>
    </row>
    <row r="24" spans="3:7" ht="12.75">
      <c r="C24" s="26"/>
      <c r="D24" s="36"/>
      <c r="E24" s="36"/>
      <c r="G24" s="54"/>
    </row>
    <row r="25" spans="3:7" ht="12.75">
      <c r="C25" s="26"/>
      <c r="D25" s="36"/>
      <c r="E25" s="36"/>
      <c r="G25" s="54"/>
    </row>
    <row r="26" spans="2:7" ht="13.5" customHeight="1">
      <c r="B26" s="37"/>
      <c r="C26" s="38"/>
      <c r="D26" s="39"/>
      <c r="E26" s="40"/>
      <c r="G26" s="54"/>
    </row>
    <row r="27" spans="1:5" ht="15">
      <c r="A27" s="6" t="s">
        <v>21</v>
      </c>
      <c r="B27" s="41" t="s">
        <v>26</v>
      </c>
      <c r="C27" s="42" t="s">
        <v>12</v>
      </c>
      <c r="D27" s="176" t="s">
        <v>13</v>
      </c>
      <c r="E27" s="176"/>
    </row>
    <row r="28" spans="2:5" ht="12.75">
      <c r="B28" s="43" t="s">
        <v>0</v>
      </c>
      <c r="C28" s="42" t="s">
        <v>9</v>
      </c>
      <c r="D28" s="176" t="s">
        <v>10</v>
      </c>
      <c r="E28" s="176"/>
    </row>
    <row r="29" spans="1:5" ht="14.25">
      <c r="A29" s="13" t="s">
        <v>47</v>
      </c>
      <c r="B29" s="44">
        <f>((C29)*B15*B13*B14+B16*(C29)*12+(24*365-B13*B14)*(D29)*B15)</f>
        <v>297.10185561059035</v>
      </c>
      <c r="C29" s="45">
        <f>($C$16/(1-(1-B20)*$C$20)-B11*C13)*(1+B18/3.52)</f>
        <v>0.32993720639058105</v>
      </c>
      <c r="D29" s="183">
        <f>((C29*C17/C16))</f>
        <v>0.19796232383434859</v>
      </c>
      <c r="E29" s="183"/>
    </row>
    <row r="30" spans="1:5" ht="14.25">
      <c r="A30" s="13" t="s">
        <v>45</v>
      </c>
      <c r="B30" s="46">
        <f>((C30)*B15*B13*B14+B16*(C30)*12+(24*365-B13*B14)*(D30)*B15)</f>
        <v>206.05940751745726</v>
      </c>
      <c r="C30" s="47">
        <f>($C$16/B21-$C$16)*(1+B18/3.52)</f>
        <v>0.22883285305332407</v>
      </c>
      <c r="D30" s="179">
        <f>C30*C17/C16</f>
        <v>0.13729971183199444</v>
      </c>
      <c r="E30" s="179"/>
    </row>
    <row r="31" spans="1:5" ht="14.25">
      <c r="A31" s="48" t="s">
        <v>44</v>
      </c>
      <c r="B31" s="49">
        <f>B29-B30</f>
        <v>91.04244809313309</v>
      </c>
      <c r="C31" s="45">
        <f>C29-C30</f>
        <v>0.10110435333725698</v>
      </c>
      <c r="D31" s="180">
        <f>D29-D30</f>
        <v>0.06066261200235415</v>
      </c>
      <c r="E31" s="180"/>
    </row>
    <row r="32" spans="3:6" ht="12.75">
      <c r="C32" s="51"/>
      <c r="D32" s="52"/>
      <c r="E32" s="53"/>
      <c r="F32" s="54"/>
    </row>
    <row r="33" spans="1:6" ht="15">
      <c r="A33" s="55" t="s">
        <v>38</v>
      </c>
      <c r="B33" s="56">
        <f>C31*B13*B14+D31*(24*365-B13*B14)</f>
        <v>657.5827141055192</v>
      </c>
      <c r="C33" s="57" t="s">
        <v>33</v>
      </c>
      <c r="D33" s="58"/>
      <c r="E33" s="54"/>
      <c r="F33" s="54"/>
    </row>
    <row r="34" spans="1:6" ht="15" customHeight="1">
      <c r="A34" s="59" t="s">
        <v>31</v>
      </c>
      <c r="B34" s="60">
        <f>C31/3.52</f>
        <v>0.028722827652629825</v>
      </c>
      <c r="C34" s="61" t="s">
        <v>34</v>
      </c>
      <c r="D34" s="62"/>
      <c r="E34" s="54"/>
      <c r="F34" s="54"/>
    </row>
    <row r="35" spans="1:6" ht="15" customHeight="1">
      <c r="A35" s="63" t="s">
        <v>37</v>
      </c>
      <c r="B35" s="64">
        <f>D31/3.52</f>
        <v>0.017233696591577884</v>
      </c>
      <c r="C35" s="61" t="s">
        <v>35</v>
      </c>
      <c r="D35" s="62"/>
      <c r="E35" s="54"/>
      <c r="F35" s="54"/>
    </row>
    <row r="36" spans="1:6" ht="12.75">
      <c r="A36" s="65"/>
      <c r="B36" s="65"/>
      <c r="C36" s="66"/>
      <c r="D36" s="67"/>
      <c r="E36" s="54"/>
      <c r="F36" s="54"/>
    </row>
    <row r="37" spans="1:6" ht="14.25">
      <c r="A37" s="68" t="s">
        <v>23</v>
      </c>
      <c r="B37" s="69">
        <v>0</v>
      </c>
      <c r="C37" s="66"/>
      <c r="D37" s="67"/>
      <c r="E37" s="51"/>
      <c r="F37" s="54"/>
    </row>
    <row r="38" spans="1:9" ht="19.5" customHeight="1">
      <c r="A38" s="70"/>
      <c r="B38" s="71"/>
      <c r="C38" s="174" t="s">
        <v>32</v>
      </c>
      <c r="D38" s="175"/>
      <c r="F38" s="72"/>
      <c r="G38" s="39"/>
      <c r="H38" s="116" t="s">
        <v>56</v>
      </c>
      <c r="I38" s="111"/>
    </row>
    <row r="39" spans="1:9" ht="15.75" customHeight="1">
      <c r="A39" s="73" t="s">
        <v>30</v>
      </c>
      <c r="B39" s="74" t="s">
        <v>25</v>
      </c>
      <c r="C39" s="74" t="s">
        <v>42</v>
      </c>
      <c r="D39" s="75" t="s">
        <v>46</v>
      </c>
      <c r="F39" s="72"/>
      <c r="G39" s="117" t="s">
        <v>55</v>
      </c>
      <c r="H39" s="118" t="s">
        <v>57</v>
      </c>
      <c r="I39" s="118" t="s">
        <v>138</v>
      </c>
    </row>
    <row r="40" spans="1:9" ht="15.75" customHeight="1">
      <c r="A40" s="76" t="s">
        <v>28</v>
      </c>
      <c r="B40" s="77">
        <f>SUM(H40*D12)</f>
        <v>1730</v>
      </c>
      <c r="C40" s="78">
        <f>30*(B37+B29)</f>
        <v>8913.055668317711</v>
      </c>
      <c r="D40" s="78">
        <f>50*(B37+B29)</f>
        <v>14855.092780529518</v>
      </c>
      <c r="F40" s="72"/>
      <c r="G40" s="113">
        <v>15</v>
      </c>
      <c r="H40" s="119">
        <v>1730</v>
      </c>
      <c r="I40" s="119">
        <v>1906</v>
      </c>
    </row>
    <row r="41" spans="1:9" ht="15.75" customHeight="1" thickBot="1">
      <c r="A41" s="76" t="s">
        <v>45</v>
      </c>
      <c r="B41" s="77">
        <f>SUM(D12*I40)</f>
        <v>1906</v>
      </c>
      <c r="C41" s="79">
        <f>30*B30</f>
        <v>6181.782225523718</v>
      </c>
      <c r="D41" s="79">
        <f>50*B30</f>
        <v>10302.970375872863</v>
      </c>
      <c r="E41" s="80"/>
      <c r="F41" s="72"/>
      <c r="G41" s="113">
        <v>30</v>
      </c>
      <c r="H41" s="119">
        <v>2130</v>
      </c>
      <c r="I41" s="119">
        <v>2562</v>
      </c>
    </row>
    <row r="42" spans="1:9" ht="15" thickBot="1">
      <c r="A42" s="81" t="s">
        <v>29</v>
      </c>
      <c r="B42" s="82">
        <f>B40-B41</f>
        <v>-176</v>
      </c>
      <c r="C42" s="83">
        <f>C40-C41</f>
        <v>2731.273442793993</v>
      </c>
      <c r="D42" s="84">
        <f>D40-D41</f>
        <v>4552.122404656655</v>
      </c>
      <c r="F42" s="72"/>
      <c r="G42" s="115">
        <v>45</v>
      </c>
      <c r="H42" s="119">
        <v>2760</v>
      </c>
      <c r="I42" s="119">
        <v>3322</v>
      </c>
    </row>
    <row r="43" spans="1:9" ht="12.75">
      <c r="A43" s="76" t="s">
        <v>22</v>
      </c>
      <c r="B43" s="85">
        <f>(B41-B40)/((B31+B37))</f>
        <v>1.9331641853474595</v>
      </c>
      <c r="C43" s="86" t="s">
        <v>50</v>
      </c>
      <c r="F43" s="72"/>
      <c r="G43" s="113">
        <v>75</v>
      </c>
      <c r="H43" s="119">
        <v>3510</v>
      </c>
      <c r="I43" s="119">
        <v>4458</v>
      </c>
    </row>
    <row r="44" spans="1:9" ht="12.75">
      <c r="A44" s="87"/>
      <c r="B44" s="88"/>
      <c r="C44" s="89"/>
      <c r="F44" s="72"/>
      <c r="G44" s="113">
        <v>112.5</v>
      </c>
      <c r="H44" s="119">
        <v>4800</v>
      </c>
      <c r="I44" s="119">
        <v>5763</v>
      </c>
    </row>
    <row r="45" spans="1:9" ht="12.75">
      <c r="A45" s="87"/>
      <c r="B45" s="88"/>
      <c r="C45" s="89"/>
      <c r="F45" s="72"/>
      <c r="G45" s="113">
        <v>150</v>
      </c>
      <c r="H45" s="119">
        <v>6250</v>
      </c>
      <c r="I45" s="119">
        <v>7509</v>
      </c>
    </row>
    <row r="46" spans="1:9" ht="12.75">
      <c r="A46" s="87"/>
      <c r="B46" s="88"/>
      <c r="C46" s="89"/>
      <c r="F46" s="72"/>
      <c r="G46" s="113">
        <v>225</v>
      </c>
      <c r="H46" s="119">
        <v>8415</v>
      </c>
      <c r="I46" s="119">
        <v>10105</v>
      </c>
    </row>
    <row r="47" spans="1:9" ht="12.75">
      <c r="A47" s="87"/>
      <c r="B47" s="88"/>
      <c r="C47" s="89"/>
      <c r="F47" s="72"/>
      <c r="G47" s="113">
        <v>300</v>
      </c>
      <c r="H47" s="119">
        <v>11680</v>
      </c>
      <c r="I47" s="119">
        <v>14026</v>
      </c>
    </row>
    <row r="48" spans="1:9" ht="12.75">
      <c r="A48" s="87"/>
      <c r="B48" s="88"/>
      <c r="C48" s="89"/>
      <c r="F48" s="72"/>
      <c r="G48" s="113">
        <v>500</v>
      </c>
      <c r="H48" s="119">
        <v>15400</v>
      </c>
      <c r="I48" s="119">
        <v>18551</v>
      </c>
    </row>
    <row r="49" spans="1:6" ht="12.75">
      <c r="A49" s="87"/>
      <c r="B49" s="88"/>
      <c r="C49" s="89"/>
      <c r="F49" s="72"/>
    </row>
    <row r="50" ht="12.75">
      <c r="F50" s="72"/>
    </row>
    <row r="51" spans="1:5" ht="15.75">
      <c r="A51" s="90"/>
      <c r="B51" s="91"/>
      <c r="C51" s="91"/>
      <c r="D51" s="91"/>
      <c r="E51" s="92"/>
    </row>
    <row r="52" spans="1:5" ht="15.75">
      <c r="A52" s="73" t="s">
        <v>15</v>
      </c>
      <c r="B52" s="93"/>
      <c r="C52" s="93"/>
      <c r="D52" s="93"/>
      <c r="E52" s="93"/>
    </row>
    <row r="53" spans="1:5" ht="14.25" customHeight="1">
      <c r="A53" s="94" t="s">
        <v>16</v>
      </c>
      <c r="B53" s="95">
        <f>(C31*B13*B14+D31*(24*365-B13*B14))*0.000738</f>
        <v>0.4852960430098732</v>
      </c>
      <c r="C53" s="96" t="s">
        <v>17</v>
      </c>
      <c r="D53" s="97">
        <f>(C31*B13*B14+D31*(24*365-B13*B14))*0.005786</f>
        <v>3.8047735838145345</v>
      </c>
      <c r="E53" s="98" t="s">
        <v>18</v>
      </c>
    </row>
    <row r="54" spans="1:5" ht="12" customHeight="1">
      <c r="A54" s="99" t="s">
        <v>19</v>
      </c>
      <c r="B54" s="100">
        <f>(C31*B13*B14+D31*(24*365-B13*B14))/0.46*2.2/2000</f>
        <v>1.572480403295807</v>
      </c>
      <c r="C54" s="101" t="s">
        <v>75</v>
      </c>
      <c r="D54" s="102">
        <f>(C31*B13*B14+D31*(24*365-B13*B14))*0.002491</f>
        <v>1.6380385408368485</v>
      </c>
      <c r="E54" s="103" t="s">
        <v>20</v>
      </c>
    </row>
    <row r="55" spans="1:6" ht="15">
      <c r="A55" s="104"/>
      <c r="B55" s="71"/>
      <c r="F55" s="72"/>
    </row>
    <row r="56" spans="1:6" ht="15">
      <c r="A56" s="104"/>
      <c r="B56" s="71"/>
      <c r="F56" s="72"/>
    </row>
    <row r="57" spans="1:6" ht="15">
      <c r="A57" s="104"/>
      <c r="B57" s="71"/>
      <c r="F57" s="72"/>
    </row>
    <row r="58" ht="14.25" customHeight="1">
      <c r="A58" s="72"/>
    </row>
    <row r="59" ht="20.25" customHeight="1"/>
    <row r="63" ht="14.25" customHeight="1"/>
  </sheetData>
  <sheetProtection/>
  <mergeCells count="8">
    <mergeCell ref="H10:I10"/>
    <mergeCell ref="D30:E30"/>
    <mergeCell ref="D31:E31"/>
    <mergeCell ref="C38:D38"/>
    <mergeCell ref="D10:E10"/>
    <mergeCell ref="D27:E27"/>
    <mergeCell ref="D28:E28"/>
    <mergeCell ref="D29:E29"/>
  </mergeCells>
  <printOptions/>
  <pageMargins left="0.75" right="0.75" top="1" bottom="1" header="0.5" footer="0.5"/>
  <pageSetup fitToHeight="1" fitToWidth="1" horizontalDpi="600" verticalDpi="600" orientation="portrait" scale="85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6:J58"/>
  <sheetViews>
    <sheetView zoomScalePageLayoutView="0" workbookViewId="0" topLeftCell="A1">
      <selection activeCell="E3" sqref="E3"/>
    </sheetView>
  </sheetViews>
  <sheetFormatPr defaultColWidth="9.140625" defaultRowHeight="12.75"/>
  <cols>
    <col min="1" max="1" width="42.7109375" style="3" customWidth="1"/>
    <col min="2" max="2" width="15.421875" style="3" customWidth="1"/>
    <col min="3" max="3" width="16.7109375" style="3" customWidth="1"/>
    <col min="4" max="4" width="15.7109375" style="3" customWidth="1"/>
    <col min="5" max="5" width="15.57421875" style="3" customWidth="1"/>
    <col min="6" max="7" width="9.140625" style="3" customWidth="1"/>
    <col min="8" max="8" width="12.28125" style="3" customWidth="1"/>
    <col min="9" max="9" width="10.421875" style="3" customWidth="1"/>
    <col min="10" max="16384" width="9.140625" style="3" customWidth="1"/>
  </cols>
  <sheetData>
    <row r="1" ht="12.75"/>
    <row r="2" ht="12.75"/>
    <row r="3" ht="12.75"/>
    <row r="4" ht="12.75"/>
    <row r="5" ht="12.75"/>
    <row r="6" spans="1:5" ht="30">
      <c r="A6" s="2"/>
      <c r="B6" s="105" t="s">
        <v>51</v>
      </c>
      <c r="D6" s="72"/>
      <c r="E6" s="72"/>
    </row>
    <row r="7" spans="2:4" ht="19.5" customHeight="1">
      <c r="B7" s="143" t="s">
        <v>76</v>
      </c>
      <c r="D7" s="4"/>
    </row>
    <row r="8" spans="1:5" ht="14.25">
      <c r="A8" s="5" t="s">
        <v>48</v>
      </c>
      <c r="B8" s="108" t="s">
        <v>58</v>
      </c>
      <c r="C8" s="107"/>
      <c r="D8" s="107"/>
      <c r="E8" s="107"/>
    </row>
    <row r="9" spans="1:5" ht="14.25">
      <c r="A9" s="1" t="s">
        <v>49</v>
      </c>
      <c r="B9" s="109" t="s">
        <v>58</v>
      </c>
      <c r="C9" s="106"/>
      <c r="D9" s="106"/>
      <c r="E9" s="106"/>
    </row>
    <row r="10" spans="1:10" ht="15">
      <c r="A10" s="6" t="s">
        <v>1</v>
      </c>
      <c r="B10" s="7"/>
      <c r="C10" s="7"/>
      <c r="D10" s="181" t="s">
        <v>5</v>
      </c>
      <c r="E10" s="182"/>
      <c r="H10" s="177" t="s">
        <v>52</v>
      </c>
      <c r="I10" s="178"/>
      <c r="J10" s="172"/>
    </row>
    <row r="11" spans="1:9" ht="14.25">
      <c r="A11" s="8" t="s">
        <v>7</v>
      </c>
      <c r="B11" s="9">
        <v>0.5</v>
      </c>
      <c r="C11" s="10">
        <f>D12*E12+D13*E13+D14*E14+D15*E15+D16*E16+D17*E17+D18*E18+D19*E19+D20*E20+D21*E21+D22*E22+D23*E23+D24*E24+D25*E25+D26*E26+0.001</f>
        <v>30.001</v>
      </c>
      <c r="D11" s="11" t="s">
        <v>3</v>
      </c>
      <c r="E11" s="12" t="s">
        <v>4</v>
      </c>
      <c r="G11" s="112" t="s">
        <v>55</v>
      </c>
      <c r="H11" s="112" t="s">
        <v>53</v>
      </c>
      <c r="I11" s="112" t="s">
        <v>54</v>
      </c>
    </row>
    <row r="12" spans="1:9" ht="15" customHeight="1">
      <c r="A12" s="13" t="s">
        <v>8</v>
      </c>
      <c r="B12" s="14">
        <v>0.3</v>
      </c>
      <c r="C12" s="15" t="s">
        <v>6</v>
      </c>
      <c r="D12" s="16">
        <v>0</v>
      </c>
      <c r="E12" s="17">
        <v>15</v>
      </c>
      <c r="G12" s="113">
        <v>15</v>
      </c>
      <c r="H12" s="114">
        <v>0.97</v>
      </c>
      <c r="I12" s="114">
        <v>0.979</v>
      </c>
    </row>
    <row r="13" spans="1:9" ht="14.25">
      <c r="A13" s="13" t="s">
        <v>39</v>
      </c>
      <c r="B13" s="18">
        <v>12</v>
      </c>
      <c r="C13" s="19">
        <f>B17*C11</f>
        <v>28.50095</v>
      </c>
      <c r="D13" s="16">
        <f>Summary!C12</f>
        <v>1</v>
      </c>
      <c r="E13" s="17">
        <v>30</v>
      </c>
      <c r="G13" s="113">
        <v>30</v>
      </c>
      <c r="H13" s="114">
        <v>0.975</v>
      </c>
      <c r="I13" s="114">
        <v>0.983</v>
      </c>
    </row>
    <row r="14" spans="1:9" ht="14.25">
      <c r="A14" s="13" t="s">
        <v>40</v>
      </c>
      <c r="B14" s="18">
        <v>260</v>
      </c>
      <c r="C14" s="20"/>
      <c r="D14" s="16">
        <v>0</v>
      </c>
      <c r="E14" s="16">
        <v>45</v>
      </c>
      <c r="G14" s="115">
        <v>45</v>
      </c>
      <c r="H14" s="114">
        <v>0.977</v>
      </c>
      <c r="I14" s="114">
        <v>0.984</v>
      </c>
    </row>
    <row r="15" spans="1:9" ht="14.25">
      <c r="A15" s="13" t="s">
        <v>14</v>
      </c>
      <c r="B15" s="21">
        <f>Summary!B21</f>
        <v>0.12</v>
      </c>
      <c r="C15" s="22" t="s">
        <v>11</v>
      </c>
      <c r="D15" s="16">
        <v>0</v>
      </c>
      <c r="E15" s="17">
        <v>75</v>
      </c>
      <c r="G15" s="113">
        <v>75</v>
      </c>
      <c r="H15" s="114">
        <v>0.98</v>
      </c>
      <c r="I15" s="114">
        <v>0.986</v>
      </c>
    </row>
    <row r="16" spans="1:9" ht="14.25">
      <c r="A16" s="13" t="s">
        <v>41</v>
      </c>
      <c r="B16" s="23">
        <v>10</v>
      </c>
      <c r="C16" s="19">
        <f>B11*C13</f>
        <v>14.250475</v>
      </c>
      <c r="D16" s="16">
        <v>0</v>
      </c>
      <c r="E16" s="17">
        <v>112.5</v>
      </c>
      <c r="G16" s="113">
        <v>112.5</v>
      </c>
      <c r="H16" s="114">
        <v>0.982</v>
      </c>
      <c r="I16" s="114">
        <v>0.987</v>
      </c>
    </row>
    <row r="17" spans="1:9" ht="14.25">
      <c r="A17" s="13" t="s">
        <v>2</v>
      </c>
      <c r="B17" s="24">
        <v>0.95</v>
      </c>
      <c r="C17" s="19">
        <f>B12*C13</f>
        <v>8.550284999999999</v>
      </c>
      <c r="D17" s="16">
        <v>0</v>
      </c>
      <c r="E17" s="17">
        <v>150</v>
      </c>
      <c r="G17" s="113">
        <v>150</v>
      </c>
      <c r="H17" s="114">
        <v>0.983</v>
      </c>
      <c r="I17" s="114">
        <v>0.988</v>
      </c>
    </row>
    <row r="18" spans="1:9" ht="14.25">
      <c r="A18" s="13" t="s">
        <v>36</v>
      </c>
      <c r="B18" s="25">
        <v>1.75</v>
      </c>
      <c r="C18" s="26"/>
      <c r="D18" s="16">
        <v>0</v>
      </c>
      <c r="E18" s="17">
        <v>225</v>
      </c>
      <c r="G18" s="113">
        <v>225</v>
      </c>
      <c r="H18" s="114">
        <v>0.985</v>
      </c>
      <c r="I18" s="114">
        <v>0.99</v>
      </c>
    </row>
    <row r="19" spans="1:9" ht="12.75">
      <c r="A19" s="13"/>
      <c r="C19" s="27" t="s">
        <v>27</v>
      </c>
      <c r="D19" s="16">
        <v>0</v>
      </c>
      <c r="E19" s="17">
        <v>300</v>
      </c>
      <c r="G19" s="113">
        <v>300</v>
      </c>
      <c r="H19" s="114">
        <v>0.986</v>
      </c>
      <c r="I19" s="114">
        <v>0.99</v>
      </c>
    </row>
    <row r="20" spans="1:9" ht="14.25">
      <c r="A20" s="28" t="s">
        <v>24</v>
      </c>
      <c r="B20" s="29">
        <v>0.975</v>
      </c>
      <c r="C20" s="30">
        <v>1</v>
      </c>
      <c r="D20" s="31">
        <v>0</v>
      </c>
      <c r="E20" s="32">
        <v>500</v>
      </c>
      <c r="G20" s="113">
        <v>500</v>
      </c>
      <c r="H20" s="114">
        <v>0.987</v>
      </c>
      <c r="I20" s="114">
        <v>0.991</v>
      </c>
    </row>
    <row r="21" spans="1:9" ht="14.25">
      <c r="A21" s="28" t="s">
        <v>43</v>
      </c>
      <c r="B21" s="29">
        <v>0.983</v>
      </c>
      <c r="C21" s="26"/>
      <c r="D21" s="33"/>
      <c r="E21" s="34"/>
      <c r="G21" s="54"/>
      <c r="H21" s="50"/>
      <c r="I21" s="50"/>
    </row>
    <row r="22" spans="1:7" ht="12.75">
      <c r="A22" s="35"/>
      <c r="C22" s="26"/>
      <c r="D22" s="36"/>
      <c r="E22" s="36"/>
      <c r="G22" s="54"/>
    </row>
    <row r="23" spans="3:7" ht="12.75">
      <c r="C23" s="26"/>
      <c r="D23" s="36"/>
      <c r="E23" s="36"/>
      <c r="G23" s="54"/>
    </row>
    <row r="24" spans="3:7" ht="12.75">
      <c r="C24" s="26"/>
      <c r="D24" s="36"/>
      <c r="E24" s="36"/>
      <c r="G24" s="54"/>
    </row>
    <row r="25" spans="3:7" ht="12.75">
      <c r="C25" s="26"/>
      <c r="D25" s="36"/>
      <c r="E25" s="36"/>
      <c r="G25" s="54"/>
    </row>
    <row r="26" spans="2:7" ht="13.5" customHeight="1">
      <c r="B26" s="37"/>
      <c r="C26" s="38"/>
      <c r="D26" s="39"/>
      <c r="E26" s="40"/>
      <c r="G26" s="54"/>
    </row>
    <row r="27" spans="1:5" ht="15">
      <c r="A27" s="6" t="s">
        <v>21</v>
      </c>
      <c r="B27" s="41" t="s">
        <v>26</v>
      </c>
      <c r="C27" s="42" t="s">
        <v>12</v>
      </c>
      <c r="D27" s="176" t="s">
        <v>13</v>
      </c>
      <c r="E27" s="176"/>
    </row>
    <row r="28" spans="2:5" ht="12.75">
      <c r="B28" s="43" t="s">
        <v>0</v>
      </c>
      <c r="C28" s="42" t="s">
        <v>9</v>
      </c>
      <c r="D28" s="176" t="s">
        <v>10</v>
      </c>
      <c r="E28" s="176"/>
    </row>
    <row r="29" spans="1:5" ht="14.25">
      <c r="A29" s="13" t="s">
        <v>47</v>
      </c>
      <c r="B29" s="44">
        <f>((C29)*B15*B13*B14+B16*(C29)*12+(24*365-B13*B14)*(D29)*B15)</f>
        <v>492.6140073321686</v>
      </c>
      <c r="C29" s="45">
        <f>($C$16/(1-(1-B20)*$C$20)-B11*C13)*(1+B18/3.52)</f>
        <v>0.547057133231353</v>
      </c>
      <c r="D29" s="183">
        <f>C29*C17/C16</f>
        <v>0.3282342799388117</v>
      </c>
      <c r="E29" s="183"/>
    </row>
    <row r="30" spans="1:5" ht="14.25">
      <c r="A30" s="13" t="s">
        <v>45</v>
      </c>
      <c r="B30" s="46">
        <f>((C30)*B15*B13*B14+B16*(C30)*12+(24*365-B13*B14)*(D30)*B15)</f>
        <v>332.251359980904</v>
      </c>
      <c r="C30" s="47">
        <f>($C$16/B21-$C$16)*(1+B18/3.52)</f>
        <v>0.3689713930136195</v>
      </c>
      <c r="D30" s="179">
        <f>C30*C17/C16</f>
        <v>0.22138283580817164</v>
      </c>
      <c r="E30" s="179"/>
    </row>
    <row r="31" spans="1:5" ht="14.25">
      <c r="A31" s="48" t="s">
        <v>44</v>
      </c>
      <c r="B31" s="49">
        <f>B29-B30</f>
        <v>160.36264735126463</v>
      </c>
      <c r="C31" s="45">
        <f>C29-C30</f>
        <v>0.1780857402177335</v>
      </c>
      <c r="D31" s="180">
        <f>D29-D30</f>
        <v>0.10685144413064007</v>
      </c>
      <c r="E31" s="180"/>
    </row>
    <row r="32" spans="3:6" ht="12.75">
      <c r="C32" s="51"/>
      <c r="D32" s="52"/>
      <c r="E32" s="53"/>
      <c r="F32" s="54"/>
    </row>
    <row r="33" spans="1:6" ht="15">
      <c r="A33" s="55" t="s">
        <v>38</v>
      </c>
      <c r="B33" s="56">
        <f>C31*B13*B14+D31*(24*365-B13*B14)</f>
        <v>1158.2696543761385</v>
      </c>
      <c r="C33" s="57" t="s">
        <v>33</v>
      </c>
      <c r="D33" s="58"/>
      <c r="E33" s="54"/>
      <c r="F33" s="54"/>
    </row>
    <row r="34" spans="1:6" ht="15" customHeight="1">
      <c r="A34" s="59" t="s">
        <v>31</v>
      </c>
      <c r="B34" s="60">
        <f>C31/3.52</f>
        <v>0.05059253983458338</v>
      </c>
      <c r="C34" s="61" t="s">
        <v>34</v>
      </c>
      <c r="D34" s="62"/>
      <c r="E34" s="54"/>
      <c r="F34" s="54"/>
    </row>
    <row r="35" spans="1:6" ht="15" customHeight="1">
      <c r="A35" s="63" t="s">
        <v>37</v>
      </c>
      <c r="B35" s="64">
        <f>D31/3.52</f>
        <v>0.030355523900750022</v>
      </c>
      <c r="C35" s="61" t="s">
        <v>35</v>
      </c>
      <c r="D35" s="62"/>
      <c r="E35" s="54"/>
      <c r="F35" s="54"/>
    </row>
    <row r="36" spans="1:6" ht="12.75">
      <c r="A36" s="65"/>
      <c r="B36" s="65"/>
      <c r="C36" s="66"/>
      <c r="D36" s="67"/>
      <c r="E36" s="54"/>
      <c r="F36" s="54"/>
    </row>
    <row r="37" spans="1:6" ht="14.25">
      <c r="A37" s="68" t="s">
        <v>23</v>
      </c>
      <c r="B37" s="69">
        <v>0</v>
      </c>
      <c r="C37" s="66"/>
      <c r="D37" s="67"/>
      <c r="E37" s="51"/>
      <c r="F37" s="54"/>
    </row>
    <row r="38" spans="1:9" ht="19.5" customHeight="1">
      <c r="A38" s="70"/>
      <c r="B38" s="71"/>
      <c r="C38" s="174" t="s">
        <v>32</v>
      </c>
      <c r="D38" s="175"/>
      <c r="F38" s="72"/>
      <c r="G38" s="39"/>
      <c r="H38" s="116" t="s">
        <v>56</v>
      </c>
      <c r="I38" s="111"/>
    </row>
    <row r="39" spans="1:9" ht="15.75" customHeight="1">
      <c r="A39" s="73" t="s">
        <v>30</v>
      </c>
      <c r="B39" s="74" t="s">
        <v>25</v>
      </c>
      <c r="C39" s="74" t="s">
        <v>42</v>
      </c>
      <c r="D39" s="75" t="s">
        <v>46</v>
      </c>
      <c r="F39" s="72"/>
      <c r="G39" s="117" t="s">
        <v>55</v>
      </c>
      <c r="H39" s="118" t="s">
        <v>57</v>
      </c>
      <c r="I39" s="118" t="s">
        <v>138</v>
      </c>
    </row>
    <row r="40" spans="1:9" ht="15.75" customHeight="1">
      <c r="A40" s="76" t="s">
        <v>28</v>
      </c>
      <c r="B40" s="77">
        <f>SUM(D13*H41)</f>
        <v>2130</v>
      </c>
      <c r="C40" s="78">
        <f>30*(B37+B29)</f>
        <v>14778.420219965059</v>
      </c>
      <c r="D40" s="78">
        <f>50*(B37+B29)</f>
        <v>24630.70036660843</v>
      </c>
      <c r="F40" s="72"/>
      <c r="G40" s="113">
        <v>15</v>
      </c>
      <c r="H40" s="119">
        <v>1730</v>
      </c>
      <c r="I40" s="119">
        <v>1906</v>
      </c>
    </row>
    <row r="41" spans="1:9" ht="15.75" customHeight="1" thickBot="1">
      <c r="A41" s="76" t="s">
        <v>45</v>
      </c>
      <c r="B41" s="77">
        <f>SUM(D13*I41)</f>
        <v>2562</v>
      </c>
      <c r="C41" s="79">
        <f>30*B30</f>
        <v>9967.540799427119</v>
      </c>
      <c r="D41" s="79">
        <f>50*B30</f>
        <v>16612.5679990452</v>
      </c>
      <c r="E41" s="80"/>
      <c r="F41" s="72"/>
      <c r="G41" s="113">
        <v>30</v>
      </c>
      <c r="H41" s="119">
        <v>2130</v>
      </c>
      <c r="I41" s="119">
        <v>2562</v>
      </c>
    </row>
    <row r="42" spans="1:9" ht="15" thickBot="1">
      <c r="A42" s="81" t="s">
        <v>29</v>
      </c>
      <c r="B42" s="82">
        <f>B40-B41</f>
        <v>-432</v>
      </c>
      <c r="C42" s="83">
        <f>C40-C41</f>
        <v>4810.87942053794</v>
      </c>
      <c r="D42" s="84">
        <f>D40-D41</f>
        <v>8018.13236756323</v>
      </c>
      <c r="F42" s="72"/>
      <c r="G42" s="115">
        <v>45</v>
      </c>
      <c r="H42" s="119">
        <v>2760</v>
      </c>
      <c r="I42" s="119">
        <v>3322</v>
      </c>
    </row>
    <row r="43" spans="1:9" ht="12.75">
      <c r="A43" s="76" t="s">
        <v>22</v>
      </c>
      <c r="B43" s="85">
        <f>(B41-B40)/((B31+B37))</f>
        <v>2.6938941651027393</v>
      </c>
      <c r="C43" s="86" t="s">
        <v>50</v>
      </c>
      <c r="F43" s="72"/>
      <c r="G43" s="113">
        <v>75</v>
      </c>
      <c r="H43" s="119">
        <v>3510</v>
      </c>
      <c r="I43" s="119">
        <v>4458</v>
      </c>
    </row>
    <row r="44" spans="1:9" ht="12.75">
      <c r="A44" s="87"/>
      <c r="B44" s="88"/>
      <c r="C44" s="89"/>
      <c r="F44" s="72"/>
      <c r="G44" s="113">
        <v>112.5</v>
      </c>
      <c r="H44" s="119">
        <v>4800</v>
      </c>
      <c r="I44" s="119">
        <v>5763</v>
      </c>
    </row>
    <row r="45" spans="1:9" ht="12.75">
      <c r="A45" s="87"/>
      <c r="B45" s="88"/>
      <c r="C45" s="89"/>
      <c r="F45" s="72"/>
      <c r="G45" s="113">
        <v>150</v>
      </c>
      <c r="H45" s="119">
        <v>6250</v>
      </c>
      <c r="I45" s="119">
        <v>7509</v>
      </c>
    </row>
    <row r="46" spans="1:9" ht="12.75">
      <c r="A46" s="87"/>
      <c r="B46" s="88"/>
      <c r="C46" s="89"/>
      <c r="F46" s="72"/>
      <c r="G46" s="113">
        <v>225</v>
      </c>
      <c r="H46" s="119">
        <v>8415</v>
      </c>
      <c r="I46" s="119">
        <v>10105</v>
      </c>
    </row>
    <row r="47" spans="1:9" ht="12.75">
      <c r="A47" s="87"/>
      <c r="B47" s="88"/>
      <c r="C47" s="89"/>
      <c r="F47" s="72"/>
      <c r="G47" s="113">
        <v>300</v>
      </c>
      <c r="H47" s="119">
        <v>11680</v>
      </c>
      <c r="I47" s="119">
        <v>14026</v>
      </c>
    </row>
    <row r="48" spans="1:9" ht="12.75">
      <c r="A48" s="87"/>
      <c r="B48" s="88"/>
      <c r="C48" s="89"/>
      <c r="F48" s="72"/>
      <c r="G48" s="113">
        <v>500</v>
      </c>
      <c r="H48" s="119">
        <v>15400</v>
      </c>
      <c r="I48" s="119">
        <v>18551</v>
      </c>
    </row>
    <row r="49" spans="1:6" ht="12.75">
      <c r="A49" s="87"/>
      <c r="B49" s="88"/>
      <c r="C49" s="89"/>
      <c r="F49" s="72"/>
    </row>
    <row r="50" ht="12.75">
      <c r="F50" s="72"/>
    </row>
    <row r="51" spans="1:5" ht="15.75">
      <c r="A51" s="90"/>
      <c r="B51" s="91"/>
      <c r="C51" s="91"/>
      <c r="D51" s="91"/>
      <c r="E51" s="92"/>
    </row>
    <row r="52" spans="1:5" ht="15.75">
      <c r="A52" s="73" t="s">
        <v>15</v>
      </c>
      <c r="B52" s="93"/>
      <c r="C52" s="93"/>
      <c r="D52" s="93"/>
      <c r="E52" s="93"/>
    </row>
    <row r="53" spans="1:5" ht="14.25" customHeight="1">
      <c r="A53" s="94" t="s">
        <v>16</v>
      </c>
      <c r="B53" s="95">
        <f>(C31*B13*B14+D31*(24*365-B13*B14))*0.000738</f>
        <v>0.8548030049295903</v>
      </c>
      <c r="C53" s="96" t="s">
        <v>17</v>
      </c>
      <c r="D53" s="97">
        <f>(C31*B13*B14+D31*(24*365-B13*B14))*0.005786</f>
        <v>6.701748220220338</v>
      </c>
      <c r="E53" s="98" t="s">
        <v>18</v>
      </c>
    </row>
    <row r="54" spans="1:5" ht="12" customHeight="1">
      <c r="A54" s="99" t="s">
        <v>19</v>
      </c>
      <c r="B54" s="100">
        <f>(C31*B13*B14+D31*(24*365-B13*B14))/0.46*2.2/2000</f>
        <v>2.7697752604646793</v>
      </c>
      <c r="C54" s="101" t="s">
        <v>75</v>
      </c>
      <c r="D54" s="102">
        <f>(C31*B13*B14+D31*(24*365-B13*B14))*0.002491</f>
        <v>2.8852497090509615</v>
      </c>
      <c r="E54" s="103" t="s">
        <v>20</v>
      </c>
    </row>
    <row r="55" spans="1:6" ht="15">
      <c r="A55" s="104"/>
      <c r="B55" s="71"/>
      <c r="F55" s="72"/>
    </row>
    <row r="56" spans="1:6" ht="15">
      <c r="A56" s="104"/>
      <c r="B56" s="71"/>
      <c r="F56" s="72"/>
    </row>
    <row r="57" spans="1:6" ht="15">
      <c r="A57" s="104"/>
      <c r="B57" s="71"/>
      <c r="F57" s="72"/>
    </row>
    <row r="58" ht="14.25" customHeight="1">
      <c r="A58" s="72"/>
    </row>
    <row r="59" ht="20.25" customHeight="1"/>
    <row r="63" ht="14.25" customHeight="1"/>
  </sheetData>
  <sheetProtection/>
  <mergeCells count="8">
    <mergeCell ref="H10:I10"/>
    <mergeCell ref="D30:E30"/>
    <mergeCell ref="D31:E31"/>
    <mergeCell ref="C38:D38"/>
    <mergeCell ref="D10:E10"/>
    <mergeCell ref="D27:E27"/>
    <mergeCell ref="D28:E28"/>
    <mergeCell ref="D29:E29"/>
  </mergeCells>
  <printOptions/>
  <pageMargins left="0.75" right="0.75" top="1" bottom="1" header="0.5" footer="0.5"/>
  <pageSetup fitToHeight="1" fitToWidth="1" horizontalDpi="600" verticalDpi="600" orientation="portrait" scale="85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6:J58"/>
  <sheetViews>
    <sheetView zoomScalePageLayoutView="0" workbookViewId="0" topLeftCell="A1">
      <selection activeCell="E2" sqref="E2"/>
    </sheetView>
  </sheetViews>
  <sheetFormatPr defaultColWidth="9.140625" defaultRowHeight="12.75"/>
  <cols>
    <col min="1" max="1" width="42.7109375" style="3" customWidth="1"/>
    <col min="2" max="2" width="15.421875" style="3" customWidth="1"/>
    <col min="3" max="3" width="16.7109375" style="3" customWidth="1"/>
    <col min="4" max="4" width="15.7109375" style="3" customWidth="1"/>
    <col min="5" max="5" width="15.57421875" style="3" customWidth="1"/>
    <col min="6" max="7" width="9.140625" style="3" customWidth="1"/>
    <col min="8" max="8" width="12.28125" style="3" customWidth="1"/>
    <col min="9" max="9" width="10.421875" style="3" customWidth="1"/>
    <col min="10" max="16384" width="9.140625" style="3" customWidth="1"/>
  </cols>
  <sheetData>
    <row r="1" ht="12.75"/>
    <row r="2" ht="12.75"/>
    <row r="3" ht="12.75"/>
    <row r="4" ht="12.75"/>
    <row r="5" ht="12.75"/>
    <row r="6" spans="1:5" ht="30">
      <c r="A6" s="2"/>
      <c r="B6" s="105" t="s">
        <v>51</v>
      </c>
      <c r="D6" s="72"/>
      <c r="E6" s="72"/>
    </row>
    <row r="7" spans="2:4" ht="15.75">
      <c r="B7" s="143" t="s">
        <v>76</v>
      </c>
      <c r="D7" s="4"/>
    </row>
    <row r="8" spans="1:5" ht="14.25">
      <c r="A8" s="5" t="s">
        <v>48</v>
      </c>
      <c r="B8" s="108" t="s">
        <v>58</v>
      </c>
      <c r="C8" s="107"/>
      <c r="D8" s="107"/>
      <c r="E8" s="107"/>
    </row>
    <row r="9" spans="1:5" ht="14.25">
      <c r="A9" s="1" t="s">
        <v>49</v>
      </c>
      <c r="B9" s="109" t="s">
        <v>58</v>
      </c>
      <c r="C9" s="106"/>
      <c r="D9" s="106"/>
      <c r="E9" s="106"/>
    </row>
    <row r="10" spans="1:10" ht="15">
      <c r="A10" s="6" t="s">
        <v>1</v>
      </c>
      <c r="B10" s="7"/>
      <c r="C10" s="7"/>
      <c r="D10" s="181" t="s">
        <v>5</v>
      </c>
      <c r="E10" s="182"/>
      <c r="H10" s="177" t="s">
        <v>52</v>
      </c>
      <c r="I10" s="178"/>
      <c r="J10" s="172"/>
    </row>
    <row r="11" spans="1:9" ht="14.25">
      <c r="A11" s="8" t="s">
        <v>7</v>
      </c>
      <c r="B11" s="9">
        <v>0.5</v>
      </c>
      <c r="C11" s="10">
        <f>D12*E12+D13*E13+D14*E14+D15*E15+D16*E16+D17*E17+D18*E18+D19*E19+D20*E20+D21*E21+D22*E22+D23*E23+D24*E24+D25*E25+D26*E26+0.001</f>
        <v>45.001</v>
      </c>
      <c r="D11" s="11" t="s">
        <v>3</v>
      </c>
      <c r="E11" s="12" t="s">
        <v>4</v>
      </c>
      <c r="G11" s="112" t="s">
        <v>55</v>
      </c>
      <c r="H11" s="112" t="s">
        <v>53</v>
      </c>
      <c r="I11" s="112" t="s">
        <v>54</v>
      </c>
    </row>
    <row r="12" spans="1:9" ht="15" customHeight="1">
      <c r="A12" s="13" t="s">
        <v>8</v>
      </c>
      <c r="B12" s="14">
        <v>0.3</v>
      </c>
      <c r="C12" s="15" t="s">
        <v>6</v>
      </c>
      <c r="D12" s="16">
        <v>0</v>
      </c>
      <c r="E12" s="17">
        <v>15</v>
      </c>
      <c r="G12" s="113">
        <v>15</v>
      </c>
      <c r="H12" s="114">
        <v>0.97</v>
      </c>
      <c r="I12" s="114">
        <v>0.979</v>
      </c>
    </row>
    <row r="13" spans="1:9" ht="14.25">
      <c r="A13" s="13" t="s">
        <v>39</v>
      </c>
      <c r="B13" s="18">
        <v>12</v>
      </c>
      <c r="C13" s="19">
        <f>B17*C11</f>
        <v>42.750949999999996</v>
      </c>
      <c r="D13" s="16">
        <v>0</v>
      </c>
      <c r="E13" s="17">
        <v>30</v>
      </c>
      <c r="G13" s="113">
        <v>30</v>
      </c>
      <c r="H13" s="114">
        <v>0.975</v>
      </c>
      <c r="I13" s="114">
        <v>0.983</v>
      </c>
    </row>
    <row r="14" spans="1:9" ht="14.25">
      <c r="A14" s="13" t="s">
        <v>40</v>
      </c>
      <c r="B14" s="18">
        <v>260</v>
      </c>
      <c r="C14" s="20"/>
      <c r="D14" s="16">
        <f>Summary!C13</f>
        <v>1</v>
      </c>
      <c r="E14" s="16">
        <v>45</v>
      </c>
      <c r="G14" s="115">
        <v>45</v>
      </c>
      <c r="H14" s="114">
        <v>0.977</v>
      </c>
      <c r="I14" s="114">
        <v>0.984</v>
      </c>
    </row>
    <row r="15" spans="1:9" ht="14.25">
      <c r="A15" s="13" t="s">
        <v>14</v>
      </c>
      <c r="B15" s="21">
        <f>Summary!B21</f>
        <v>0.12</v>
      </c>
      <c r="C15" s="22" t="s">
        <v>11</v>
      </c>
      <c r="D15" s="16">
        <v>0</v>
      </c>
      <c r="E15" s="17">
        <v>75</v>
      </c>
      <c r="G15" s="113">
        <v>75</v>
      </c>
      <c r="H15" s="114">
        <v>0.98</v>
      </c>
      <c r="I15" s="114">
        <v>0.986</v>
      </c>
    </row>
    <row r="16" spans="1:9" ht="14.25">
      <c r="A16" s="13" t="s">
        <v>41</v>
      </c>
      <c r="B16" s="23">
        <v>10</v>
      </c>
      <c r="C16" s="19">
        <f>B11*C13</f>
        <v>21.375474999999998</v>
      </c>
      <c r="D16" s="16">
        <v>0</v>
      </c>
      <c r="E16" s="17">
        <v>112.5</v>
      </c>
      <c r="G16" s="113">
        <v>112.5</v>
      </c>
      <c r="H16" s="114">
        <v>0.982</v>
      </c>
      <c r="I16" s="114">
        <v>0.987</v>
      </c>
    </row>
    <row r="17" spans="1:9" ht="14.25">
      <c r="A17" s="13" t="s">
        <v>2</v>
      </c>
      <c r="B17" s="24">
        <v>0.95</v>
      </c>
      <c r="C17" s="19">
        <f>B12*C13</f>
        <v>12.825285</v>
      </c>
      <c r="D17" s="16">
        <v>0</v>
      </c>
      <c r="E17" s="17">
        <v>150</v>
      </c>
      <c r="G17" s="113">
        <v>150</v>
      </c>
      <c r="H17" s="114">
        <v>0.983</v>
      </c>
      <c r="I17" s="114">
        <v>0.988</v>
      </c>
    </row>
    <row r="18" spans="1:9" ht="14.25">
      <c r="A18" s="13" t="s">
        <v>36</v>
      </c>
      <c r="B18" s="25">
        <v>1.75</v>
      </c>
      <c r="C18" s="26"/>
      <c r="D18" s="16">
        <v>0</v>
      </c>
      <c r="E18" s="17">
        <v>225</v>
      </c>
      <c r="G18" s="113">
        <v>225</v>
      </c>
      <c r="H18" s="114">
        <v>0.985</v>
      </c>
      <c r="I18" s="114">
        <v>0.99</v>
      </c>
    </row>
    <row r="19" spans="1:9" ht="12.75">
      <c r="A19" s="13"/>
      <c r="C19" s="27" t="s">
        <v>27</v>
      </c>
      <c r="D19" s="16">
        <v>0</v>
      </c>
      <c r="E19" s="17">
        <v>300</v>
      </c>
      <c r="G19" s="113">
        <v>300</v>
      </c>
      <c r="H19" s="114">
        <v>0.986</v>
      </c>
      <c r="I19" s="114">
        <v>0.99</v>
      </c>
    </row>
    <row r="20" spans="1:9" ht="14.25">
      <c r="A20" s="28" t="s">
        <v>24</v>
      </c>
      <c r="B20" s="29">
        <v>0.977</v>
      </c>
      <c r="C20" s="30">
        <v>1</v>
      </c>
      <c r="D20" s="31">
        <v>0</v>
      </c>
      <c r="E20" s="32">
        <v>500</v>
      </c>
      <c r="G20" s="113">
        <v>500</v>
      </c>
      <c r="H20" s="114">
        <v>0.987</v>
      </c>
      <c r="I20" s="114">
        <v>0.991</v>
      </c>
    </row>
    <row r="21" spans="1:9" ht="14.25">
      <c r="A21" s="28" t="s">
        <v>43</v>
      </c>
      <c r="B21" s="29">
        <v>0.984</v>
      </c>
      <c r="C21" s="26" t="s">
        <v>58</v>
      </c>
      <c r="D21" s="33"/>
      <c r="E21" s="34"/>
      <c r="G21" s="54"/>
      <c r="H21" s="50"/>
      <c r="I21" s="50"/>
    </row>
    <row r="22" spans="1:7" ht="12.75">
      <c r="A22" s="35"/>
      <c r="C22" s="26"/>
      <c r="D22" s="36"/>
      <c r="E22" s="36"/>
      <c r="G22" s="54"/>
    </row>
    <row r="23" spans="3:7" ht="12.75">
      <c r="C23" s="26"/>
      <c r="D23" s="36"/>
      <c r="E23" s="36"/>
      <c r="G23" s="54"/>
    </row>
    <row r="24" spans="3:7" ht="12.75">
      <c r="C24" s="26"/>
      <c r="D24" s="36"/>
      <c r="E24" s="36"/>
      <c r="G24" s="54"/>
    </row>
    <row r="25" spans="3:7" ht="12.75">
      <c r="C25" s="26"/>
      <c r="D25" s="36"/>
      <c r="E25" s="36"/>
      <c r="G25" s="54"/>
    </row>
    <row r="26" spans="2:7" ht="13.5" customHeight="1">
      <c r="B26" s="37"/>
      <c r="C26" s="38"/>
      <c r="D26" s="39"/>
      <c r="E26" s="40"/>
      <c r="G26" s="54"/>
    </row>
    <row r="27" spans="1:5" ht="15">
      <c r="A27" s="6" t="s">
        <v>21</v>
      </c>
      <c r="B27" s="41" t="s">
        <v>26</v>
      </c>
      <c r="C27" s="42" t="s">
        <v>12</v>
      </c>
      <c r="D27" s="176" t="s">
        <v>13</v>
      </c>
      <c r="E27" s="176"/>
    </row>
    <row r="28" spans="2:5" ht="12.75">
      <c r="B28" s="43" t="s">
        <v>0</v>
      </c>
      <c r="C28" s="42" t="s">
        <v>9</v>
      </c>
      <c r="D28" s="176" t="s">
        <v>10</v>
      </c>
      <c r="E28" s="176"/>
    </row>
    <row r="29" spans="1:5" ht="14.25">
      <c r="A29" s="13" t="s">
        <v>47</v>
      </c>
      <c r="B29" s="44">
        <f>((C29)*B15*B13*B14+B16*(C29)*12+(24*365-B13*B14)*(D29)*B15)</f>
        <v>678.4081704518933</v>
      </c>
      <c r="C29" s="45">
        <f>($C$16/(1-(1-B20)*$C$20)-B11*C13)*(1+B18/3.52)</f>
        <v>0.7533850506972873</v>
      </c>
      <c r="D29" s="183">
        <f>C29*C17/C16</f>
        <v>0.45203103041837245</v>
      </c>
      <c r="E29" s="183"/>
    </row>
    <row r="30" spans="1:5" ht="14.25">
      <c r="A30" s="13" t="s">
        <v>45</v>
      </c>
      <c r="B30" s="46">
        <f>((C30)*B15*B13*B14+B16*(C30)*12+(24*365-B13*B14)*(D30)*B15)</f>
        <v>468.5788494390266</v>
      </c>
      <c r="C30" s="47">
        <f>($C$16/B21-$C$16)*(1+B18/3.52)</f>
        <v>0.5203656377032545</v>
      </c>
      <c r="D30" s="179">
        <f>C30*C17/C16</f>
        <v>0.3122193826219527</v>
      </c>
      <c r="E30" s="179"/>
    </row>
    <row r="31" spans="1:5" ht="14.25">
      <c r="A31" s="48" t="s">
        <v>44</v>
      </c>
      <c r="B31" s="49">
        <f>B29-B30</f>
        <v>209.82932101286667</v>
      </c>
      <c r="C31" s="45">
        <f>C29-C30</f>
        <v>0.23301941299403284</v>
      </c>
      <c r="D31" s="180">
        <f>D29-D30</f>
        <v>0.13981164779641975</v>
      </c>
      <c r="E31" s="180"/>
    </row>
    <row r="32" spans="3:6" ht="12.75">
      <c r="C32" s="51"/>
      <c r="D32" s="52"/>
      <c r="E32" s="53"/>
      <c r="F32" s="54"/>
    </row>
    <row r="33" spans="1:6" ht="15">
      <c r="A33" s="55" t="s">
        <v>38</v>
      </c>
      <c r="B33" s="56">
        <f>C31*B13*B14+D31*(24*365-B13*B14)</f>
        <v>1515.5582621131898</v>
      </c>
      <c r="C33" s="57" t="s">
        <v>33</v>
      </c>
      <c r="D33" s="58"/>
      <c r="E33" s="54"/>
      <c r="F33" s="54"/>
    </row>
    <row r="34" spans="1:6" ht="15" customHeight="1">
      <c r="A34" s="59" t="s">
        <v>31</v>
      </c>
      <c r="B34" s="60">
        <f>C31/3.52</f>
        <v>0.06619869687330478</v>
      </c>
      <c r="C34" s="61" t="s">
        <v>34</v>
      </c>
      <c r="D34" s="62"/>
      <c r="E34" s="54"/>
      <c r="F34" s="54"/>
    </row>
    <row r="35" spans="1:6" ht="15" customHeight="1">
      <c r="A35" s="63" t="s">
        <v>37</v>
      </c>
      <c r="B35" s="64">
        <f>D31/3.52</f>
        <v>0.03971921812398288</v>
      </c>
      <c r="C35" s="61" t="s">
        <v>35</v>
      </c>
      <c r="D35" s="62"/>
      <c r="E35" s="54"/>
      <c r="F35" s="54"/>
    </row>
    <row r="36" spans="1:6" ht="12.75">
      <c r="A36" s="65"/>
      <c r="B36" s="65"/>
      <c r="C36" s="66"/>
      <c r="D36" s="67"/>
      <c r="E36" s="54"/>
      <c r="F36" s="54"/>
    </row>
    <row r="37" spans="1:6" ht="14.25">
      <c r="A37" s="68" t="s">
        <v>23</v>
      </c>
      <c r="B37" s="69">
        <v>0</v>
      </c>
      <c r="C37" s="66"/>
      <c r="D37" s="67"/>
      <c r="E37" s="51"/>
      <c r="F37" s="54"/>
    </row>
    <row r="38" spans="1:9" ht="19.5" customHeight="1">
      <c r="A38" s="70"/>
      <c r="B38" s="71"/>
      <c r="C38" s="174" t="s">
        <v>32</v>
      </c>
      <c r="D38" s="175"/>
      <c r="F38" s="72"/>
      <c r="G38" s="39"/>
      <c r="H38" s="116" t="s">
        <v>56</v>
      </c>
      <c r="I38" s="111"/>
    </row>
    <row r="39" spans="1:9" ht="15.75" customHeight="1">
      <c r="A39" s="73" t="s">
        <v>30</v>
      </c>
      <c r="B39" s="74" t="s">
        <v>25</v>
      </c>
      <c r="C39" s="74" t="s">
        <v>42</v>
      </c>
      <c r="D39" s="75" t="s">
        <v>46</v>
      </c>
      <c r="F39" s="72"/>
      <c r="G39" s="117" t="s">
        <v>55</v>
      </c>
      <c r="H39" s="118" t="s">
        <v>57</v>
      </c>
      <c r="I39" s="118" t="s">
        <v>138</v>
      </c>
    </row>
    <row r="40" spans="1:9" ht="15.75" customHeight="1">
      <c r="A40" s="76" t="s">
        <v>28</v>
      </c>
      <c r="B40" s="77">
        <f>SUM(D14*H42)</f>
        <v>2760</v>
      </c>
      <c r="C40" s="78">
        <f>30*(B37+B29)</f>
        <v>20352.245113556797</v>
      </c>
      <c r="D40" s="78">
        <f>50*(B37+B29)</f>
        <v>33920.40852259466</v>
      </c>
      <c r="F40" s="72"/>
      <c r="G40" s="113">
        <v>15</v>
      </c>
      <c r="H40" s="119">
        <v>1730</v>
      </c>
      <c r="I40" s="119">
        <v>1906</v>
      </c>
    </row>
    <row r="41" spans="1:9" ht="15.75" customHeight="1" thickBot="1">
      <c r="A41" s="76" t="s">
        <v>45</v>
      </c>
      <c r="B41" s="77">
        <f>SUM(D14*I42)</f>
        <v>3322</v>
      </c>
      <c r="C41" s="79">
        <f>30*B30</f>
        <v>14057.365483170799</v>
      </c>
      <c r="D41" s="79">
        <f>50*B30</f>
        <v>23428.94247195133</v>
      </c>
      <c r="E41" s="80"/>
      <c r="F41" s="72"/>
      <c r="G41" s="113">
        <v>30</v>
      </c>
      <c r="H41" s="119">
        <v>2130</v>
      </c>
      <c r="I41" s="119">
        <v>2562</v>
      </c>
    </row>
    <row r="42" spans="1:9" ht="15" thickBot="1">
      <c r="A42" s="81" t="s">
        <v>29</v>
      </c>
      <c r="B42" s="82">
        <f>B40-B41</f>
        <v>-562</v>
      </c>
      <c r="C42" s="83">
        <f>C40-C41</f>
        <v>6294.879630385998</v>
      </c>
      <c r="D42" s="84">
        <f>D40-D41</f>
        <v>10491.466050643332</v>
      </c>
      <c r="F42" s="72"/>
      <c r="G42" s="115">
        <v>45</v>
      </c>
      <c r="H42" s="119">
        <v>2760</v>
      </c>
      <c r="I42" s="119">
        <v>3322</v>
      </c>
    </row>
    <row r="43" spans="1:9" ht="12.75">
      <c r="A43" s="76" t="s">
        <v>22</v>
      </c>
      <c r="B43" s="85">
        <f>(B41-B40)/((B31+B37))</f>
        <v>2.6783673382116997</v>
      </c>
      <c r="C43" s="86" t="s">
        <v>50</v>
      </c>
      <c r="F43" s="72"/>
      <c r="G43" s="113">
        <v>75</v>
      </c>
      <c r="H43" s="119">
        <v>3510</v>
      </c>
      <c r="I43" s="119">
        <v>4458</v>
      </c>
    </row>
    <row r="44" spans="1:9" ht="12.75">
      <c r="A44" s="87"/>
      <c r="B44" s="88"/>
      <c r="C44" s="89"/>
      <c r="F44" s="72"/>
      <c r="G44" s="113">
        <v>112.5</v>
      </c>
      <c r="H44" s="119">
        <v>4800</v>
      </c>
      <c r="I44" s="119">
        <v>5763</v>
      </c>
    </row>
    <row r="45" spans="1:9" ht="12.75">
      <c r="A45" s="87"/>
      <c r="B45" s="88"/>
      <c r="C45" s="89"/>
      <c r="F45" s="72"/>
      <c r="G45" s="113">
        <v>150</v>
      </c>
      <c r="H45" s="119">
        <v>6250</v>
      </c>
      <c r="I45" s="119">
        <v>7509</v>
      </c>
    </row>
    <row r="46" spans="1:9" ht="12.75">
      <c r="A46" s="87"/>
      <c r="B46" s="88"/>
      <c r="C46" s="89"/>
      <c r="F46" s="72"/>
      <c r="G46" s="113">
        <v>225</v>
      </c>
      <c r="H46" s="119">
        <v>8415</v>
      </c>
      <c r="I46" s="119">
        <v>10105</v>
      </c>
    </row>
    <row r="47" spans="1:9" ht="12.75">
      <c r="A47" s="87"/>
      <c r="B47" s="88"/>
      <c r="C47" s="89"/>
      <c r="F47" s="72"/>
      <c r="G47" s="113">
        <v>300</v>
      </c>
      <c r="H47" s="119">
        <v>11680</v>
      </c>
      <c r="I47" s="119">
        <v>14026</v>
      </c>
    </row>
    <row r="48" spans="1:9" ht="12.75">
      <c r="A48" s="87"/>
      <c r="B48" s="88"/>
      <c r="C48" s="89"/>
      <c r="F48" s="72"/>
      <c r="G48" s="113">
        <v>500</v>
      </c>
      <c r="H48" s="119">
        <v>15400</v>
      </c>
      <c r="I48" s="119">
        <v>18551</v>
      </c>
    </row>
    <row r="49" spans="1:6" ht="12.75">
      <c r="A49" s="87"/>
      <c r="B49" s="88"/>
      <c r="C49" s="89"/>
      <c r="F49" s="72"/>
    </row>
    <row r="50" ht="12.75">
      <c r="F50" s="72"/>
    </row>
    <row r="51" spans="1:5" ht="15.75">
      <c r="A51" s="90"/>
      <c r="B51" s="91"/>
      <c r="C51" s="91"/>
      <c r="D51" s="91"/>
      <c r="E51" s="92"/>
    </row>
    <row r="52" spans="1:5" ht="15.75">
      <c r="A52" s="73" t="s">
        <v>15</v>
      </c>
      <c r="B52" s="93"/>
      <c r="C52" s="93"/>
      <c r="D52" s="93"/>
      <c r="E52" s="93"/>
    </row>
    <row r="53" spans="1:5" ht="14.25" customHeight="1">
      <c r="A53" s="94" t="s">
        <v>16</v>
      </c>
      <c r="B53" s="95">
        <f>(C31*B13*B14+D31*(24*365-B13*B14))*0.000738</f>
        <v>1.1184819974395341</v>
      </c>
      <c r="C53" s="96" t="s">
        <v>17</v>
      </c>
      <c r="D53" s="97">
        <f>(C31*B13*B14+D31*(24*365-B13*B14))*0.005786</f>
        <v>8.769020104586916</v>
      </c>
      <c r="E53" s="98" t="s">
        <v>18</v>
      </c>
    </row>
    <row r="54" spans="1:5" ht="12" customHeight="1">
      <c r="A54" s="99" t="s">
        <v>19</v>
      </c>
      <c r="B54" s="100">
        <f>(C31*B13*B14+D31*(24*365-B13*B14))/0.46*2.2/2000</f>
        <v>3.6241610615750193</v>
      </c>
      <c r="C54" s="101" t="s">
        <v>75</v>
      </c>
      <c r="D54" s="102">
        <f>(C31*B13*B14+D31*(24*365-B13*B14))*0.002491</f>
        <v>3.775255630923956</v>
      </c>
      <c r="E54" s="103" t="s">
        <v>20</v>
      </c>
    </row>
    <row r="55" spans="1:6" ht="15">
      <c r="A55" s="104"/>
      <c r="B55" s="71"/>
      <c r="F55" s="72"/>
    </row>
    <row r="56" spans="1:6" ht="15">
      <c r="A56" s="104"/>
      <c r="B56" s="71"/>
      <c r="F56" s="72"/>
    </row>
    <row r="57" spans="1:6" ht="15">
      <c r="A57" s="104"/>
      <c r="B57" s="71"/>
      <c r="F57" s="72"/>
    </row>
    <row r="58" ht="14.25" customHeight="1">
      <c r="A58" s="72"/>
    </row>
    <row r="59" ht="20.25" customHeight="1"/>
    <row r="63" ht="14.25" customHeight="1"/>
  </sheetData>
  <sheetProtection/>
  <mergeCells count="8">
    <mergeCell ref="H10:I10"/>
    <mergeCell ref="D30:E30"/>
    <mergeCell ref="D31:E31"/>
    <mergeCell ref="C38:D38"/>
    <mergeCell ref="D10:E10"/>
    <mergeCell ref="D27:E27"/>
    <mergeCell ref="D28:E28"/>
    <mergeCell ref="D29:E29"/>
  </mergeCells>
  <printOptions/>
  <pageMargins left="0.75" right="0.75" top="1" bottom="1" header="0.5" footer="0.5"/>
  <pageSetup fitToHeight="1" fitToWidth="1" horizontalDpi="600" verticalDpi="600" orientation="portrait" scale="85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6:J58"/>
  <sheetViews>
    <sheetView showGridLines="0" zoomScaleSheetLayoutView="135" zoomScalePageLayoutView="0" workbookViewId="0" topLeftCell="A1">
      <selection activeCell="A4" sqref="A4:IV4"/>
    </sheetView>
  </sheetViews>
  <sheetFormatPr defaultColWidth="9.140625" defaultRowHeight="12.75"/>
  <cols>
    <col min="1" max="1" width="42.7109375" style="3" customWidth="1"/>
    <col min="2" max="2" width="15.421875" style="3" customWidth="1"/>
    <col min="3" max="3" width="16.7109375" style="3" customWidth="1"/>
    <col min="4" max="4" width="15.7109375" style="3" customWidth="1"/>
    <col min="5" max="5" width="15.57421875" style="3" customWidth="1"/>
    <col min="6" max="7" width="9.140625" style="3" customWidth="1"/>
    <col min="8" max="8" width="12.28125" style="3" customWidth="1"/>
    <col min="9" max="9" width="10.421875" style="3" customWidth="1"/>
    <col min="10" max="16384" width="9.140625" style="3" customWidth="1"/>
  </cols>
  <sheetData>
    <row r="1" ht="12.75"/>
    <row r="2" ht="12.75"/>
    <row r="3" ht="12.75"/>
    <row r="4" ht="12.75"/>
    <row r="5" ht="12.75"/>
    <row r="6" spans="1:5" ht="30">
      <c r="A6" s="2"/>
      <c r="B6" s="105" t="s">
        <v>51</v>
      </c>
      <c r="D6" s="72"/>
      <c r="E6" s="72"/>
    </row>
    <row r="7" spans="2:4" ht="15.75">
      <c r="B7" s="143" t="s">
        <v>76</v>
      </c>
      <c r="D7" s="4"/>
    </row>
    <row r="8" spans="1:5" ht="14.25">
      <c r="A8" s="5" t="s">
        <v>48</v>
      </c>
      <c r="B8" s="108" t="s">
        <v>58</v>
      </c>
      <c r="C8" s="107"/>
      <c r="D8" s="107"/>
      <c r="E8" s="107"/>
    </row>
    <row r="9" spans="1:5" ht="14.25">
      <c r="A9" s="1" t="s">
        <v>49</v>
      </c>
      <c r="B9" s="109" t="s">
        <v>58</v>
      </c>
      <c r="C9" s="106"/>
      <c r="D9" s="106"/>
      <c r="E9" s="106"/>
    </row>
    <row r="10" spans="1:10" ht="15">
      <c r="A10" s="6" t="s">
        <v>1</v>
      </c>
      <c r="B10" s="7"/>
      <c r="C10" s="7"/>
      <c r="D10" s="181" t="s">
        <v>5</v>
      </c>
      <c r="E10" s="182"/>
      <c r="H10" s="177" t="s">
        <v>52</v>
      </c>
      <c r="I10" s="178"/>
      <c r="J10" s="172"/>
    </row>
    <row r="11" spans="1:9" ht="14.25">
      <c r="A11" s="8" t="s">
        <v>7</v>
      </c>
      <c r="B11" s="9">
        <v>0.5</v>
      </c>
      <c r="C11" s="10">
        <f>D12*E12+D13*E13+D14*E14+D15*E15+D16*E16+D17*E17+D18*E18+D19*E19+D20*E20+D21*E21+D22*E22+D23*E23+D24*E24+D25*E25+D26*E26+0.001</f>
        <v>75.001</v>
      </c>
      <c r="D11" s="11" t="s">
        <v>3</v>
      </c>
      <c r="E11" s="12" t="s">
        <v>4</v>
      </c>
      <c r="G11" s="112" t="s">
        <v>55</v>
      </c>
      <c r="H11" s="112" t="s">
        <v>53</v>
      </c>
      <c r="I11" s="112" t="s">
        <v>54</v>
      </c>
    </row>
    <row r="12" spans="1:9" ht="15" customHeight="1">
      <c r="A12" s="13" t="s">
        <v>8</v>
      </c>
      <c r="B12" s="14">
        <v>0.3</v>
      </c>
      <c r="C12" s="15" t="s">
        <v>6</v>
      </c>
      <c r="D12" s="16">
        <v>0</v>
      </c>
      <c r="E12" s="17">
        <v>15</v>
      </c>
      <c r="G12" s="113">
        <v>15</v>
      </c>
      <c r="H12" s="114">
        <v>0.97</v>
      </c>
      <c r="I12" s="114">
        <v>0.979</v>
      </c>
    </row>
    <row r="13" spans="1:9" ht="14.25">
      <c r="A13" s="13" t="s">
        <v>39</v>
      </c>
      <c r="B13" s="18">
        <v>12</v>
      </c>
      <c r="C13" s="19">
        <f>B17*C11</f>
        <v>71.25095</v>
      </c>
      <c r="D13" s="16">
        <v>0</v>
      </c>
      <c r="E13" s="17">
        <v>30</v>
      </c>
      <c r="G13" s="113">
        <v>30</v>
      </c>
      <c r="H13" s="114">
        <v>0.975</v>
      </c>
      <c r="I13" s="114">
        <v>0.983</v>
      </c>
    </row>
    <row r="14" spans="1:9" ht="14.25">
      <c r="A14" s="13" t="s">
        <v>40</v>
      </c>
      <c r="B14" s="18">
        <v>260</v>
      </c>
      <c r="C14" s="20"/>
      <c r="D14" s="16">
        <v>0</v>
      </c>
      <c r="E14" s="16">
        <v>45</v>
      </c>
      <c r="G14" s="115">
        <v>45</v>
      </c>
      <c r="H14" s="114">
        <v>0.977</v>
      </c>
      <c r="I14" s="114">
        <v>0.984</v>
      </c>
    </row>
    <row r="15" spans="1:9" ht="14.25">
      <c r="A15" s="13" t="s">
        <v>14</v>
      </c>
      <c r="B15" s="21">
        <f>Summary!B21</f>
        <v>0.12</v>
      </c>
      <c r="C15" s="22" t="s">
        <v>11</v>
      </c>
      <c r="D15" s="16">
        <f>Summary!C14</f>
        <v>1</v>
      </c>
      <c r="E15" s="17">
        <v>75</v>
      </c>
      <c r="G15" s="113">
        <v>75</v>
      </c>
      <c r="H15" s="114">
        <v>0.98</v>
      </c>
      <c r="I15" s="114">
        <v>0.986</v>
      </c>
    </row>
    <row r="16" spans="1:9" ht="14.25">
      <c r="A16" s="13" t="s">
        <v>41</v>
      </c>
      <c r="B16" s="23">
        <v>10</v>
      </c>
      <c r="C16" s="19">
        <f>B11*C13</f>
        <v>35.625475</v>
      </c>
      <c r="D16" s="16">
        <v>0</v>
      </c>
      <c r="E16" s="17">
        <v>112.5</v>
      </c>
      <c r="G16" s="113">
        <v>112.5</v>
      </c>
      <c r="H16" s="114">
        <v>0.982</v>
      </c>
      <c r="I16" s="114">
        <v>0.987</v>
      </c>
    </row>
    <row r="17" spans="1:9" ht="14.25">
      <c r="A17" s="13" t="s">
        <v>2</v>
      </c>
      <c r="B17" s="24">
        <v>0.95</v>
      </c>
      <c r="C17" s="19">
        <f>B12*C13</f>
        <v>21.375285</v>
      </c>
      <c r="D17" s="16">
        <v>0</v>
      </c>
      <c r="E17" s="17">
        <v>150</v>
      </c>
      <c r="G17" s="113">
        <v>150</v>
      </c>
      <c r="H17" s="114">
        <v>0.983</v>
      </c>
      <c r="I17" s="114">
        <v>0.988</v>
      </c>
    </row>
    <row r="18" spans="1:9" ht="14.25">
      <c r="A18" s="13" t="s">
        <v>36</v>
      </c>
      <c r="B18" s="25">
        <v>1.75</v>
      </c>
      <c r="C18" s="26"/>
      <c r="D18" s="16">
        <v>0</v>
      </c>
      <c r="E18" s="17">
        <v>225</v>
      </c>
      <c r="G18" s="113">
        <v>225</v>
      </c>
      <c r="H18" s="114">
        <v>0.985</v>
      </c>
      <c r="I18" s="114">
        <v>0.99</v>
      </c>
    </row>
    <row r="19" spans="1:9" ht="12.75">
      <c r="A19" s="13"/>
      <c r="C19" s="27" t="s">
        <v>27</v>
      </c>
      <c r="D19" s="16">
        <v>0</v>
      </c>
      <c r="E19" s="17">
        <v>300</v>
      </c>
      <c r="G19" s="113">
        <v>300</v>
      </c>
      <c r="H19" s="114">
        <v>0.986</v>
      </c>
      <c r="I19" s="114">
        <v>0.99</v>
      </c>
    </row>
    <row r="20" spans="1:9" ht="14.25">
      <c r="A20" s="28" t="s">
        <v>24</v>
      </c>
      <c r="B20" s="29">
        <v>0.98</v>
      </c>
      <c r="C20" s="30">
        <v>1</v>
      </c>
      <c r="D20" s="31">
        <v>0</v>
      </c>
      <c r="E20" s="32">
        <v>500</v>
      </c>
      <c r="G20" s="113">
        <v>500</v>
      </c>
      <c r="H20" s="114">
        <v>0.987</v>
      </c>
      <c r="I20" s="114">
        <v>0.991</v>
      </c>
    </row>
    <row r="21" spans="1:9" ht="14.25">
      <c r="A21" s="28" t="s">
        <v>43</v>
      </c>
      <c r="B21" s="29">
        <v>0.986</v>
      </c>
      <c r="C21" s="26"/>
      <c r="D21" s="33"/>
      <c r="E21" s="34"/>
      <c r="G21" s="54"/>
      <c r="H21" s="50"/>
      <c r="I21" s="50"/>
    </row>
    <row r="22" spans="1:7" ht="12.75">
      <c r="A22" s="35"/>
      <c r="C22" s="26"/>
      <c r="D22" s="36"/>
      <c r="E22" s="36"/>
      <c r="G22" s="54"/>
    </row>
    <row r="23" spans="3:7" ht="12.75">
      <c r="C23" s="26"/>
      <c r="D23" s="36"/>
      <c r="E23" s="36"/>
      <c r="G23" s="54"/>
    </row>
    <row r="24" spans="3:7" ht="12.75">
      <c r="C24" s="26"/>
      <c r="D24" s="36"/>
      <c r="E24" s="36"/>
      <c r="G24" s="54"/>
    </row>
    <row r="25" spans="3:7" ht="12.75">
      <c r="C25" s="26"/>
      <c r="D25" s="36"/>
      <c r="E25" s="36"/>
      <c r="G25" s="54"/>
    </row>
    <row r="26" spans="2:7" ht="13.5" customHeight="1">
      <c r="B26" s="37"/>
      <c r="C26" s="38"/>
      <c r="D26" s="39"/>
      <c r="E26" s="40"/>
      <c r="G26" s="54"/>
    </row>
    <row r="27" spans="1:5" ht="15">
      <c r="A27" s="6" t="s">
        <v>21</v>
      </c>
      <c r="B27" s="41" t="s">
        <v>26</v>
      </c>
      <c r="C27" s="42" t="s">
        <v>12</v>
      </c>
      <c r="D27" s="176" t="s">
        <v>13</v>
      </c>
      <c r="E27" s="176"/>
    </row>
    <row r="28" spans="2:5" ht="12.75">
      <c r="B28" s="43" t="s">
        <v>0</v>
      </c>
      <c r="C28" s="42" t="s">
        <v>9</v>
      </c>
      <c r="D28" s="176" t="s">
        <v>10</v>
      </c>
      <c r="E28" s="176"/>
    </row>
    <row r="29" spans="1:5" ht="14.25">
      <c r="A29" s="13" t="s">
        <v>47</v>
      </c>
      <c r="B29" s="44">
        <f>((C29)*B15*B13*B14+B16*(C29)*12+(24*365-B13*B14)*(D29)*B15)</f>
        <v>980.1817377467511</v>
      </c>
      <c r="C29" s="45">
        <f>($C$16/(1-(1-B20)*$C$20)-B11*C13)*(1+B18/3.52)</f>
        <v>1.0885102809021312</v>
      </c>
      <c r="D29" s="183">
        <f>C29*C17/C16</f>
        <v>0.6531061685412788</v>
      </c>
      <c r="E29" s="183"/>
    </row>
    <row r="30" spans="1:5" ht="14.25">
      <c r="A30" s="13" t="s">
        <v>45</v>
      </c>
      <c r="B30" s="46">
        <f>((C30)*B15*B13*B14+B16*(C30)*12+(24*365-B13*B14)*(D30)*B15)</f>
        <v>681.9520000956117</v>
      </c>
      <c r="C30" s="47">
        <f>($C$16/B21-$C$16)*(1+B18/3.52)</f>
        <v>0.7573205402625396</v>
      </c>
      <c r="D30" s="179">
        <f>C30*C17/C16</f>
        <v>0.4543923241575238</v>
      </c>
      <c r="E30" s="179"/>
    </row>
    <row r="31" spans="1:5" ht="14.25">
      <c r="A31" s="48" t="s">
        <v>44</v>
      </c>
      <c r="B31" s="49">
        <f>B29-B30</f>
        <v>298.22973765113943</v>
      </c>
      <c r="C31" s="45">
        <f>C29-C30</f>
        <v>0.3311897406395916</v>
      </c>
      <c r="D31" s="180">
        <f>D29-D30</f>
        <v>0.198713844383755</v>
      </c>
      <c r="E31" s="180"/>
    </row>
    <row r="32" spans="3:6" ht="12.75">
      <c r="C32" s="51"/>
      <c r="D32" s="52"/>
      <c r="E32" s="53"/>
      <c r="F32" s="54"/>
    </row>
    <row r="33" spans="1:6" ht="15">
      <c r="A33" s="55" t="s">
        <v>38</v>
      </c>
      <c r="B33" s="56">
        <f>C31*B13*B14+D31*(24*365-B13*B14)</f>
        <v>2154.0580731199043</v>
      </c>
      <c r="C33" s="57" t="s">
        <v>33</v>
      </c>
      <c r="D33" s="58"/>
      <c r="E33" s="54"/>
      <c r="F33" s="54"/>
    </row>
    <row r="34" spans="1:6" ht="15" customHeight="1">
      <c r="A34" s="59" t="s">
        <v>31</v>
      </c>
      <c r="B34" s="60">
        <f>C31/3.52</f>
        <v>0.09408799449988398</v>
      </c>
      <c r="C34" s="61" t="s">
        <v>34</v>
      </c>
      <c r="D34" s="62"/>
      <c r="E34" s="54"/>
      <c r="F34" s="54"/>
    </row>
    <row r="35" spans="1:6" ht="15" customHeight="1">
      <c r="A35" s="63" t="s">
        <v>37</v>
      </c>
      <c r="B35" s="64">
        <f>D31/3.52</f>
        <v>0.0564527966999304</v>
      </c>
      <c r="C35" s="61" t="s">
        <v>35</v>
      </c>
      <c r="D35" s="62"/>
      <c r="E35" s="54"/>
      <c r="F35" s="54"/>
    </row>
    <row r="36" spans="1:6" ht="12.75">
      <c r="A36" s="65"/>
      <c r="B36" s="65"/>
      <c r="C36" s="66"/>
      <c r="D36" s="67"/>
      <c r="E36" s="54"/>
      <c r="F36" s="54"/>
    </row>
    <row r="37" spans="1:6" ht="14.25">
      <c r="A37" s="68" t="s">
        <v>23</v>
      </c>
      <c r="B37" s="69">
        <v>0</v>
      </c>
      <c r="C37" s="66"/>
      <c r="D37" s="67"/>
      <c r="E37" s="51"/>
      <c r="F37" s="54"/>
    </row>
    <row r="38" spans="1:9" ht="19.5" customHeight="1">
      <c r="A38" s="70"/>
      <c r="B38" s="71"/>
      <c r="C38" s="174" t="s">
        <v>32</v>
      </c>
      <c r="D38" s="175"/>
      <c r="F38" s="72"/>
      <c r="G38" s="39"/>
      <c r="H38" s="116" t="s">
        <v>56</v>
      </c>
      <c r="I38" s="111"/>
    </row>
    <row r="39" spans="1:9" ht="15.75" customHeight="1">
      <c r="A39" s="73" t="s">
        <v>30</v>
      </c>
      <c r="B39" s="74" t="s">
        <v>25</v>
      </c>
      <c r="C39" s="74" t="s">
        <v>42</v>
      </c>
      <c r="D39" s="75" t="s">
        <v>46</v>
      </c>
      <c r="F39" s="72"/>
      <c r="G39" s="117" t="s">
        <v>55</v>
      </c>
      <c r="H39" s="118" t="s">
        <v>57</v>
      </c>
      <c r="I39" s="118" t="s">
        <v>138</v>
      </c>
    </row>
    <row r="40" spans="1:9" ht="15.75" customHeight="1">
      <c r="A40" s="76" t="s">
        <v>28</v>
      </c>
      <c r="B40" s="77">
        <f>SUM(D15*H43)</f>
        <v>3510</v>
      </c>
      <c r="C40" s="78">
        <f>30*(B37+B29)</f>
        <v>29405.452132402534</v>
      </c>
      <c r="D40" s="78">
        <f>50*(B37+B29)</f>
        <v>49009.08688733755</v>
      </c>
      <c r="F40" s="72"/>
      <c r="G40" s="113">
        <v>15</v>
      </c>
      <c r="H40" s="119">
        <v>1730</v>
      </c>
      <c r="I40" s="119">
        <v>1906</v>
      </c>
    </row>
    <row r="41" spans="1:9" ht="15.75" customHeight="1" thickBot="1">
      <c r="A41" s="76" t="s">
        <v>45</v>
      </c>
      <c r="B41" s="77">
        <f>SUM(D15*I43)</f>
        <v>4458</v>
      </c>
      <c r="C41" s="79">
        <f>30*B30</f>
        <v>20458.56000286835</v>
      </c>
      <c r="D41" s="79">
        <f>50*B30</f>
        <v>34097.60000478058</v>
      </c>
      <c r="E41" s="80"/>
      <c r="F41" s="72"/>
      <c r="G41" s="113">
        <v>30</v>
      </c>
      <c r="H41" s="119">
        <v>2130</v>
      </c>
      <c r="I41" s="119">
        <v>2562</v>
      </c>
    </row>
    <row r="42" spans="1:9" ht="15" thickBot="1">
      <c r="A42" s="81" t="s">
        <v>29</v>
      </c>
      <c r="B42" s="82">
        <f>B40-B41</f>
        <v>-948</v>
      </c>
      <c r="C42" s="83">
        <f>C40-C41</f>
        <v>8946.892129534182</v>
      </c>
      <c r="D42" s="84">
        <f>D40-D41</f>
        <v>14911.486882556972</v>
      </c>
      <c r="F42" s="72"/>
      <c r="G42" s="115">
        <v>45</v>
      </c>
      <c r="H42" s="119">
        <v>2760</v>
      </c>
      <c r="I42" s="119">
        <v>3322</v>
      </c>
    </row>
    <row r="43" spans="1:9" ht="12.75">
      <c r="A43" s="76" t="s">
        <v>22</v>
      </c>
      <c r="B43" s="85">
        <f>(B41-B40)/((B31+B37))</f>
        <v>3.1787574487589936</v>
      </c>
      <c r="C43" s="86" t="s">
        <v>50</v>
      </c>
      <c r="F43" s="72"/>
      <c r="G43" s="113">
        <v>75</v>
      </c>
      <c r="H43" s="119">
        <v>3510</v>
      </c>
      <c r="I43" s="119">
        <v>4458</v>
      </c>
    </row>
    <row r="44" spans="1:9" ht="12.75">
      <c r="A44" s="87"/>
      <c r="B44" s="88"/>
      <c r="C44" s="89"/>
      <c r="F44" s="72"/>
      <c r="G44" s="113">
        <v>112.5</v>
      </c>
      <c r="H44" s="119">
        <v>4800</v>
      </c>
      <c r="I44" s="119">
        <v>5763</v>
      </c>
    </row>
    <row r="45" spans="1:9" ht="12.75">
      <c r="A45" s="87"/>
      <c r="B45" s="88"/>
      <c r="C45" s="89"/>
      <c r="F45" s="72"/>
      <c r="G45" s="113">
        <v>150</v>
      </c>
      <c r="H45" s="119">
        <v>6250</v>
      </c>
      <c r="I45" s="119">
        <v>7509</v>
      </c>
    </row>
    <row r="46" spans="1:9" ht="12.75">
      <c r="A46" s="87"/>
      <c r="B46" s="88"/>
      <c r="C46" s="89"/>
      <c r="F46" s="72"/>
      <c r="G46" s="113">
        <v>225</v>
      </c>
      <c r="H46" s="119">
        <v>8415</v>
      </c>
      <c r="I46" s="119">
        <v>10105</v>
      </c>
    </row>
    <row r="47" spans="1:9" ht="12.75">
      <c r="A47" s="87"/>
      <c r="B47" s="88"/>
      <c r="C47" s="89"/>
      <c r="F47" s="72"/>
      <c r="G47" s="113">
        <v>300</v>
      </c>
      <c r="H47" s="119">
        <v>11680</v>
      </c>
      <c r="I47" s="119">
        <v>14026</v>
      </c>
    </row>
    <row r="48" spans="1:9" ht="12.75">
      <c r="A48" s="87"/>
      <c r="B48" s="88"/>
      <c r="C48" s="89"/>
      <c r="F48" s="72"/>
      <c r="G48" s="113">
        <v>500</v>
      </c>
      <c r="H48" s="119">
        <v>15400</v>
      </c>
      <c r="I48" s="119">
        <v>18551</v>
      </c>
    </row>
    <row r="49" spans="1:6" ht="12.75">
      <c r="A49" s="87"/>
      <c r="B49" s="88"/>
      <c r="C49" s="89"/>
      <c r="F49" s="72"/>
    </row>
    <row r="50" ht="12.75">
      <c r="F50" s="72"/>
    </row>
    <row r="51" spans="1:5" ht="15.75">
      <c r="A51" s="90"/>
      <c r="B51" s="91"/>
      <c r="C51" s="91"/>
      <c r="D51" s="91"/>
      <c r="E51" s="92"/>
    </row>
    <row r="52" spans="1:5" ht="15.75">
      <c r="A52" s="73" t="s">
        <v>15</v>
      </c>
      <c r="B52" s="93"/>
      <c r="C52" s="93"/>
      <c r="D52" s="93"/>
      <c r="E52" s="93"/>
    </row>
    <row r="53" spans="1:5" ht="14.25" customHeight="1">
      <c r="A53" s="94" t="s">
        <v>16</v>
      </c>
      <c r="B53" s="95">
        <f>(C31*B13*B14+D31*(24*365-B13*B14))*0.000738</f>
        <v>1.5896948579624894</v>
      </c>
      <c r="C53" s="96" t="s">
        <v>17</v>
      </c>
      <c r="D53" s="97">
        <f>(C31*B13*B14+D31*(24*365-B13*B14))*0.005786</f>
        <v>12.463380011071767</v>
      </c>
      <c r="E53" s="98" t="s">
        <v>18</v>
      </c>
    </row>
    <row r="54" spans="1:5" ht="12" customHeight="1">
      <c r="A54" s="99" t="s">
        <v>19</v>
      </c>
      <c r="B54" s="100">
        <f>(C31*B13*B14+D31*(24*365-B13*B14))/0.46*2.2/2000</f>
        <v>5.1510084357215105</v>
      </c>
      <c r="C54" s="101" t="s">
        <v>75</v>
      </c>
      <c r="D54" s="102">
        <f>(C31*B13*B14+D31*(24*365-B13*B14))*0.002491</f>
        <v>5.365758660141682</v>
      </c>
      <c r="E54" s="103" t="s">
        <v>20</v>
      </c>
    </row>
    <row r="55" spans="1:6" ht="15">
      <c r="A55" s="104"/>
      <c r="B55" s="71"/>
      <c r="F55" s="72"/>
    </row>
    <row r="56" spans="1:6" ht="15">
      <c r="A56" s="104"/>
      <c r="B56" s="71"/>
      <c r="F56" s="72"/>
    </row>
    <row r="57" spans="1:6" ht="15">
      <c r="A57" s="104"/>
      <c r="B57" s="71"/>
      <c r="F57" s="72"/>
    </row>
    <row r="58" ht="14.25" customHeight="1">
      <c r="A58" s="72"/>
    </row>
    <row r="59" ht="20.25" customHeight="1"/>
    <row r="63" ht="14.25" customHeight="1"/>
  </sheetData>
  <sheetProtection/>
  <mergeCells count="8">
    <mergeCell ref="H10:I10"/>
    <mergeCell ref="C38:D38"/>
    <mergeCell ref="D31:E31"/>
    <mergeCell ref="D10:E10"/>
    <mergeCell ref="D27:E27"/>
    <mergeCell ref="D30:E30"/>
    <mergeCell ref="D28:E28"/>
    <mergeCell ref="D29:E29"/>
  </mergeCells>
  <printOptions/>
  <pageMargins left="0" right="0" top="0.58" bottom="0.53" header="0.5" footer="0.5"/>
  <pageSetup horizontalDpi="600" verticalDpi="600" orientation="portrait" scale="94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6:J58"/>
  <sheetViews>
    <sheetView zoomScalePageLayoutView="0" workbookViewId="0" topLeftCell="A1">
      <selection activeCell="A4" sqref="A4:IV4"/>
    </sheetView>
  </sheetViews>
  <sheetFormatPr defaultColWidth="9.140625" defaultRowHeight="12.75"/>
  <cols>
    <col min="1" max="1" width="42.7109375" style="3" customWidth="1"/>
    <col min="2" max="2" width="15.421875" style="3" customWidth="1"/>
    <col min="3" max="3" width="16.7109375" style="3" customWidth="1"/>
    <col min="4" max="4" width="15.7109375" style="3" customWidth="1"/>
    <col min="5" max="5" width="15.57421875" style="3" customWidth="1"/>
    <col min="6" max="7" width="9.140625" style="3" customWidth="1"/>
    <col min="8" max="8" width="12.28125" style="3" customWidth="1"/>
    <col min="9" max="9" width="10.421875" style="3" customWidth="1"/>
    <col min="10" max="16384" width="9.140625" style="3" customWidth="1"/>
  </cols>
  <sheetData>
    <row r="1" ht="12.75"/>
    <row r="2" ht="12.75"/>
    <row r="3" ht="12.75"/>
    <row r="4" ht="12.75"/>
    <row r="5" ht="12.75"/>
    <row r="6" spans="1:5" ht="30">
      <c r="A6" s="2"/>
      <c r="B6" s="105" t="s">
        <v>51</v>
      </c>
      <c r="D6" s="72"/>
      <c r="E6" s="72"/>
    </row>
    <row r="7" spans="2:4" ht="15.75">
      <c r="B7" s="143" t="s">
        <v>76</v>
      </c>
      <c r="D7" s="4"/>
    </row>
    <row r="8" spans="1:5" ht="14.25">
      <c r="A8" s="5" t="s">
        <v>48</v>
      </c>
      <c r="B8" s="108" t="s">
        <v>58</v>
      </c>
      <c r="C8" s="107"/>
      <c r="D8" s="107"/>
      <c r="E8" s="107"/>
    </row>
    <row r="9" spans="1:5" ht="14.25">
      <c r="A9" s="1" t="s">
        <v>49</v>
      </c>
      <c r="B9" s="109" t="s">
        <v>58</v>
      </c>
      <c r="C9" s="106"/>
      <c r="D9" s="106"/>
      <c r="E9" s="106"/>
    </row>
    <row r="10" spans="1:10" ht="15">
      <c r="A10" s="6" t="s">
        <v>1</v>
      </c>
      <c r="B10" s="7"/>
      <c r="C10" s="7"/>
      <c r="D10" s="181" t="s">
        <v>5</v>
      </c>
      <c r="E10" s="182"/>
      <c r="H10" s="177" t="s">
        <v>52</v>
      </c>
      <c r="I10" s="178"/>
      <c r="J10" s="172"/>
    </row>
    <row r="11" spans="1:9" ht="14.25">
      <c r="A11" s="8" t="s">
        <v>7</v>
      </c>
      <c r="B11" s="9">
        <v>0.5</v>
      </c>
      <c r="C11" s="10">
        <f>D12*E12+D13*E13+D14*E14+D15*E15+D16*E16+D17*E17+D18*E18+D19*E19+D20*E20+D21*E21+D22*E22+D23*E23+D24*E24+D25*E25+D26*E26+0.001</f>
        <v>112.501</v>
      </c>
      <c r="D11" s="11" t="s">
        <v>3</v>
      </c>
      <c r="E11" s="12" t="s">
        <v>4</v>
      </c>
      <c r="G11" s="112" t="s">
        <v>55</v>
      </c>
      <c r="H11" s="112" t="s">
        <v>53</v>
      </c>
      <c r="I11" s="112" t="s">
        <v>54</v>
      </c>
    </row>
    <row r="12" spans="1:9" ht="15" customHeight="1">
      <c r="A12" s="13" t="s">
        <v>8</v>
      </c>
      <c r="B12" s="14">
        <v>0.3</v>
      </c>
      <c r="C12" s="15" t="s">
        <v>6</v>
      </c>
      <c r="D12" s="16">
        <v>0</v>
      </c>
      <c r="E12" s="17">
        <v>15</v>
      </c>
      <c r="G12" s="113">
        <v>15</v>
      </c>
      <c r="H12" s="114">
        <v>0.97</v>
      </c>
      <c r="I12" s="114">
        <v>0.979</v>
      </c>
    </row>
    <row r="13" spans="1:9" ht="14.25">
      <c r="A13" s="13" t="s">
        <v>39</v>
      </c>
      <c r="B13" s="18">
        <v>12</v>
      </c>
      <c r="C13" s="19">
        <f>B17*C11</f>
        <v>106.87595</v>
      </c>
      <c r="D13" s="16">
        <v>0</v>
      </c>
      <c r="E13" s="17">
        <v>30</v>
      </c>
      <c r="G13" s="113">
        <v>30</v>
      </c>
      <c r="H13" s="114">
        <v>0.975</v>
      </c>
      <c r="I13" s="114">
        <v>0.983</v>
      </c>
    </row>
    <row r="14" spans="1:9" ht="14.25">
      <c r="A14" s="13" t="s">
        <v>40</v>
      </c>
      <c r="B14" s="18">
        <v>260</v>
      </c>
      <c r="C14" s="20"/>
      <c r="D14" s="16">
        <v>0</v>
      </c>
      <c r="E14" s="16">
        <v>45</v>
      </c>
      <c r="G14" s="115">
        <v>45</v>
      </c>
      <c r="H14" s="114">
        <v>0.977</v>
      </c>
      <c r="I14" s="114">
        <v>0.984</v>
      </c>
    </row>
    <row r="15" spans="1:9" ht="14.25">
      <c r="A15" s="13" t="s">
        <v>14</v>
      </c>
      <c r="B15" s="21">
        <f>Summary!B21</f>
        <v>0.12</v>
      </c>
      <c r="C15" s="22" t="s">
        <v>11</v>
      </c>
      <c r="D15" s="16">
        <v>0</v>
      </c>
      <c r="E15" s="17">
        <v>75</v>
      </c>
      <c r="G15" s="113">
        <v>75</v>
      </c>
      <c r="H15" s="114">
        <v>0.98</v>
      </c>
      <c r="I15" s="114">
        <v>0.986</v>
      </c>
    </row>
    <row r="16" spans="1:9" ht="14.25">
      <c r="A16" s="13" t="s">
        <v>41</v>
      </c>
      <c r="B16" s="23">
        <v>10</v>
      </c>
      <c r="C16" s="19">
        <f>B11*C13</f>
        <v>53.437975</v>
      </c>
      <c r="D16" s="16">
        <f>Summary!C15</f>
        <v>1</v>
      </c>
      <c r="E16" s="17">
        <v>112.5</v>
      </c>
      <c r="G16" s="113">
        <v>112.5</v>
      </c>
      <c r="H16" s="114">
        <v>0.982</v>
      </c>
      <c r="I16" s="114">
        <v>0.987</v>
      </c>
    </row>
    <row r="17" spans="1:9" ht="14.25">
      <c r="A17" s="13" t="s">
        <v>2</v>
      </c>
      <c r="B17" s="24">
        <v>0.95</v>
      </c>
      <c r="C17" s="19">
        <f>B12*C13</f>
        <v>32.062785</v>
      </c>
      <c r="D17" s="16">
        <v>0</v>
      </c>
      <c r="E17" s="17">
        <v>150</v>
      </c>
      <c r="G17" s="113">
        <v>150</v>
      </c>
      <c r="H17" s="114">
        <v>0.983</v>
      </c>
      <c r="I17" s="114">
        <v>0.988</v>
      </c>
    </row>
    <row r="18" spans="1:9" ht="14.25">
      <c r="A18" s="13" t="s">
        <v>36</v>
      </c>
      <c r="B18" s="25">
        <v>1.75</v>
      </c>
      <c r="C18" s="26"/>
      <c r="D18" s="16">
        <v>0</v>
      </c>
      <c r="E18" s="17">
        <v>225</v>
      </c>
      <c r="G18" s="113">
        <v>225</v>
      </c>
      <c r="H18" s="114">
        <v>0.985</v>
      </c>
      <c r="I18" s="114">
        <v>0.99</v>
      </c>
    </row>
    <row r="19" spans="1:9" ht="12.75">
      <c r="A19" s="13"/>
      <c r="C19" s="27" t="s">
        <v>27</v>
      </c>
      <c r="D19" s="16">
        <v>0</v>
      </c>
      <c r="E19" s="17">
        <v>300</v>
      </c>
      <c r="G19" s="113">
        <v>300</v>
      </c>
      <c r="H19" s="114">
        <v>0.986</v>
      </c>
      <c r="I19" s="114">
        <v>0.99</v>
      </c>
    </row>
    <row r="20" spans="1:9" ht="14.25">
      <c r="A20" s="28" t="s">
        <v>24</v>
      </c>
      <c r="B20" s="29">
        <v>0.982</v>
      </c>
      <c r="C20" s="30">
        <v>1</v>
      </c>
      <c r="D20" s="31">
        <v>0</v>
      </c>
      <c r="E20" s="32">
        <v>500</v>
      </c>
      <c r="G20" s="113">
        <v>500</v>
      </c>
      <c r="H20" s="114">
        <v>0.987</v>
      </c>
      <c r="I20" s="114">
        <v>0.991</v>
      </c>
    </row>
    <row r="21" spans="1:9" ht="14.25">
      <c r="A21" s="28" t="s">
        <v>43</v>
      </c>
      <c r="B21" s="29">
        <v>0.987</v>
      </c>
      <c r="C21" s="26"/>
      <c r="D21" s="33"/>
      <c r="E21" s="34"/>
      <c r="G21" s="54"/>
      <c r="H21" s="50"/>
      <c r="I21" s="50"/>
    </row>
    <row r="22" spans="1:7" ht="12.75">
      <c r="A22" s="35"/>
      <c r="C22" s="26"/>
      <c r="D22" s="36"/>
      <c r="E22" s="36"/>
      <c r="G22" s="54"/>
    </row>
    <row r="23" spans="3:7" ht="12.75">
      <c r="C23" s="26"/>
      <c r="D23" s="36"/>
      <c r="E23" s="36"/>
      <c r="G23" s="54"/>
    </row>
    <row r="24" spans="3:7" ht="12.75">
      <c r="C24" s="26"/>
      <c r="D24" s="36"/>
      <c r="E24" s="36"/>
      <c r="G24" s="54"/>
    </row>
    <row r="25" spans="3:7" ht="12.75">
      <c r="C25" s="26"/>
      <c r="D25" s="36"/>
      <c r="E25" s="36"/>
      <c r="G25" s="54"/>
    </row>
    <row r="26" spans="2:7" ht="13.5" customHeight="1">
      <c r="B26" s="37"/>
      <c r="C26" s="38"/>
      <c r="D26" s="39"/>
      <c r="E26" s="40"/>
      <c r="G26" s="54"/>
    </row>
    <row r="27" spans="1:5" ht="15">
      <c r="A27" s="6" t="s">
        <v>21</v>
      </c>
      <c r="B27" s="41" t="s">
        <v>26</v>
      </c>
      <c r="C27" s="42" t="s">
        <v>12</v>
      </c>
      <c r="D27" s="176" t="s">
        <v>13</v>
      </c>
      <c r="E27" s="176"/>
    </row>
    <row r="28" spans="2:5" ht="12.75">
      <c r="B28" s="43" t="s">
        <v>0</v>
      </c>
      <c r="C28" s="42" t="s">
        <v>9</v>
      </c>
      <c r="D28" s="176" t="s">
        <v>10</v>
      </c>
      <c r="E28" s="176"/>
    </row>
    <row r="29" spans="1:5" ht="14.25">
      <c r="A29" s="13" t="s">
        <v>47</v>
      </c>
      <c r="B29" s="44">
        <f>((C29)*B15*B13*B14+B16*(C29)*12+(24*365-B13*B14)*(D29)*B15)</f>
        <v>1320.544476219131</v>
      </c>
      <c r="C29" s="45">
        <f>($C$16/(1-(1-B20)*$C$20)-B11*C13)*(1+B18/3.52)</f>
        <v>1.466489512503477</v>
      </c>
      <c r="D29" s="183">
        <f>C29*C17/C16</f>
        <v>0.8798937075020861</v>
      </c>
      <c r="E29" s="183"/>
    </row>
    <row r="30" spans="1:5" ht="14.25">
      <c r="A30" s="13" t="s">
        <v>45</v>
      </c>
      <c r="B30" s="46">
        <f>((C30)*B15*B13*B14+B16*(C30)*12+(24*365-B13*B14)*(D30)*B15)</f>
        <v>948.8951245870385</v>
      </c>
      <c r="C30" s="47">
        <f>($C$16/B21-$C$16)*(1+B18/3.52)</f>
        <v>1.0537659077237014</v>
      </c>
      <c r="D30" s="179">
        <f>C30*C17/C16</f>
        <v>0.6322595446342208</v>
      </c>
      <c r="E30" s="179"/>
    </row>
    <row r="31" spans="1:5" ht="14.25">
      <c r="A31" s="48" t="s">
        <v>44</v>
      </c>
      <c r="B31" s="49">
        <f>B29-B30</f>
        <v>371.6493516320925</v>
      </c>
      <c r="C31" s="45">
        <f>C29-C30</f>
        <v>0.41272360477977554</v>
      </c>
      <c r="D31" s="180">
        <f>D29-D30</f>
        <v>0.24763416286786522</v>
      </c>
      <c r="E31" s="180"/>
    </row>
    <row r="32" spans="3:6" ht="12.75">
      <c r="C32" s="51"/>
      <c r="D32" s="52"/>
      <c r="E32" s="53"/>
      <c r="F32" s="54"/>
    </row>
    <row r="33" spans="1:6" ht="15">
      <c r="A33" s="55" t="s">
        <v>38</v>
      </c>
      <c r="B33" s="56">
        <f>C31*B13*B14+D31*(24*365-B13*B14)</f>
        <v>2684.3543254876595</v>
      </c>
      <c r="C33" s="57" t="s">
        <v>33</v>
      </c>
      <c r="D33" s="58"/>
      <c r="E33" s="54"/>
      <c r="F33" s="54"/>
    </row>
    <row r="34" spans="1:6" ht="15" customHeight="1">
      <c r="A34" s="59" t="s">
        <v>31</v>
      </c>
      <c r="B34" s="60">
        <f>C31/3.52</f>
        <v>0.11725102408516351</v>
      </c>
      <c r="C34" s="61" t="s">
        <v>34</v>
      </c>
      <c r="D34" s="62"/>
      <c r="E34" s="54"/>
      <c r="F34" s="54"/>
    </row>
    <row r="35" spans="1:6" ht="15" customHeight="1">
      <c r="A35" s="63" t="s">
        <v>37</v>
      </c>
      <c r="B35" s="64">
        <f>D31/3.52</f>
        <v>0.07035061445109807</v>
      </c>
      <c r="C35" s="61" t="s">
        <v>35</v>
      </c>
      <c r="D35" s="62"/>
      <c r="E35" s="54"/>
      <c r="F35" s="54"/>
    </row>
    <row r="36" spans="1:6" ht="12.75">
      <c r="A36" s="65"/>
      <c r="B36" s="65"/>
      <c r="C36" s="66"/>
      <c r="D36" s="67"/>
      <c r="E36" s="54"/>
      <c r="F36" s="54"/>
    </row>
    <row r="37" spans="1:6" ht="14.25">
      <c r="A37" s="68" t="s">
        <v>23</v>
      </c>
      <c r="B37" s="69">
        <v>0</v>
      </c>
      <c r="C37" s="66"/>
      <c r="D37" s="67"/>
      <c r="E37" s="51"/>
      <c r="F37" s="54"/>
    </row>
    <row r="38" spans="1:9" ht="19.5" customHeight="1">
      <c r="A38" s="70"/>
      <c r="B38" s="71"/>
      <c r="C38" s="174" t="s">
        <v>32</v>
      </c>
      <c r="D38" s="175"/>
      <c r="F38" s="72"/>
      <c r="G38" s="39"/>
      <c r="H38" s="116" t="s">
        <v>56</v>
      </c>
      <c r="I38" s="111"/>
    </row>
    <row r="39" spans="1:9" ht="15.75" customHeight="1">
      <c r="A39" s="73" t="s">
        <v>30</v>
      </c>
      <c r="B39" s="74" t="s">
        <v>25</v>
      </c>
      <c r="C39" s="74" t="s">
        <v>42</v>
      </c>
      <c r="D39" s="75" t="s">
        <v>46</v>
      </c>
      <c r="F39" s="72"/>
      <c r="G39" s="117" t="s">
        <v>55</v>
      </c>
      <c r="H39" s="118" t="s">
        <v>57</v>
      </c>
      <c r="I39" s="118" t="s">
        <v>138</v>
      </c>
    </row>
    <row r="40" spans="1:9" ht="15.75" customHeight="1">
      <c r="A40" s="76" t="s">
        <v>28</v>
      </c>
      <c r="B40" s="77">
        <f>SUM(D16*H44)</f>
        <v>4800</v>
      </c>
      <c r="C40" s="78">
        <f>30*(B37+B29)</f>
        <v>39616.334286573925</v>
      </c>
      <c r="D40" s="78">
        <f>50*(B37+B29)</f>
        <v>66027.22381095655</v>
      </c>
      <c r="F40" s="72"/>
      <c r="G40" s="113">
        <v>15</v>
      </c>
      <c r="H40" s="119">
        <v>1730</v>
      </c>
      <c r="I40" s="119">
        <v>1906</v>
      </c>
    </row>
    <row r="41" spans="1:9" ht="15.75" customHeight="1" thickBot="1">
      <c r="A41" s="76" t="s">
        <v>45</v>
      </c>
      <c r="B41" s="77">
        <f>SUM(D16*I44)</f>
        <v>5763</v>
      </c>
      <c r="C41" s="79">
        <f>30*B30</f>
        <v>28466.853737611156</v>
      </c>
      <c r="D41" s="79">
        <f>50*B30</f>
        <v>47444.75622935192</v>
      </c>
      <c r="E41" s="80"/>
      <c r="F41" s="72"/>
      <c r="G41" s="113">
        <v>30</v>
      </c>
      <c r="H41" s="119">
        <v>2130</v>
      </c>
      <c r="I41" s="119">
        <v>2562</v>
      </c>
    </row>
    <row r="42" spans="1:9" ht="15" thickBot="1">
      <c r="A42" s="81" t="s">
        <v>29</v>
      </c>
      <c r="B42" s="82">
        <f>B40-B41</f>
        <v>-963</v>
      </c>
      <c r="C42" s="83">
        <f>C40-C41</f>
        <v>11149.480548962769</v>
      </c>
      <c r="D42" s="84">
        <f>D40-D41</f>
        <v>18582.46758160463</v>
      </c>
      <c r="F42" s="72"/>
      <c r="G42" s="115">
        <v>45</v>
      </c>
      <c r="H42" s="119">
        <v>2760</v>
      </c>
      <c r="I42" s="119">
        <v>3322</v>
      </c>
    </row>
    <row r="43" spans="1:9" ht="12.75">
      <c r="A43" s="76" t="s">
        <v>22</v>
      </c>
      <c r="B43" s="85">
        <f>(B41-B40)/((B31+B37))</f>
        <v>2.591152105529043</v>
      </c>
      <c r="C43" s="86" t="s">
        <v>50</v>
      </c>
      <c r="F43" s="72"/>
      <c r="G43" s="113">
        <v>75</v>
      </c>
      <c r="H43" s="119">
        <v>3510</v>
      </c>
      <c r="I43" s="119">
        <v>4458</v>
      </c>
    </row>
    <row r="44" spans="1:9" ht="12.75">
      <c r="A44" s="87"/>
      <c r="B44" s="88"/>
      <c r="C44" s="89"/>
      <c r="F44" s="72"/>
      <c r="G44" s="113">
        <v>112.5</v>
      </c>
      <c r="H44" s="119">
        <v>4800</v>
      </c>
      <c r="I44" s="119">
        <v>5763</v>
      </c>
    </row>
    <row r="45" spans="1:9" ht="12.75">
      <c r="A45" s="87"/>
      <c r="B45" s="88"/>
      <c r="C45" s="89"/>
      <c r="F45" s="72"/>
      <c r="G45" s="113">
        <v>150</v>
      </c>
      <c r="H45" s="119">
        <v>6250</v>
      </c>
      <c r="I45" s="119">
        <v>7509</v>
      </c>
    </row>
    <row r="46" spans="1:9" ht="12.75">
      <c r="A46" s="87"/>
      <c r="B46" s="88"/>
      <c r="C46" s="89"/>
      <c r="F46" s="72"/>
      <c r="G46" s="113">
        <v>225</v>
      </c>
      <c r="H46" s="119">
        <v>8415</v>
      </c>
      <c r="I46" s="119">
        <v>10105</v>
      </c>
    </row>
    <row r="47" spans="1:9" ht="12.75">
      <c r="A47" s="87"/>
      <c r="B47" s="88"/>
      <c r="C47" s="89"/>
      <c r="F47" s="72"/>
      <c r="G47" s="113">
        <v>300</v>
      </c>
      <c r="H47" s="119">
        <v>11680</v>
      </c>
      <c r="I47" s="119">
        <v>14026</v>
      </c>
    </row>
    <row r="48" spans="1:9" ht="12.75">
      <c r="A48" s="87"/>
      <c r="B48" s="88"/>
      <c r="C48" s="89"/>
      <c r="F48" s="72"/>
      <c r="G48" s="113">
        <v>500</v>
      </c>
      <c r="H48" s="119">
        <v>15400</v>
      </c>
      <c r="I48" s="119">
        <v>18551</v>
      </c>
    </row>
    <row r="49" spans="1:6" ht="12.75">
      <c r="A49" s="87"/>
      <c r="B49" s="88"/>
      <c r="C49" s="89"/>
      <c r="F49" s="72"/>
    </row>
    <row r="50" ht="12.75">
      <c r="F50" s="72"/>
    </row>
    <row r="51" spans="1:5" ht="15.75">
      <c r="A51" s="90"/>
      <c r="B51" s="91"/>
      <c r="C51" s="91"/>
      <c r="D51" s="91"/>
      <c r="E51" s="92"/>
    </row>
    <row r="52" spans="1:5" ht="15.75">
      <c r="A52" s="73" t="s">
        <v>15</v>
      </c>
      <c r="B52" s="93"/>
      <c r="C52" s="93"/>
      <c r="D52" s="93"/>
      <c r="E52" s="93"/>
    </row>
    <row r="53" spans="1:5" ht="14.25" customHeight="1">
      <c r="A53" s="94" t="s">
        <v>16</v>
      </c>
      <c r="B53" s="95">
        <f>(C31*B13*B14+D31*(24*365-B13*B14))*0.000738</f>
        <v>1.9810534922098928</v>
      </c>
      <c r="C53" s="96" t="s">
        <v>17</v>
      </c>
      <c r="D53" s="97">
        <f>(C31*B13*B14+D31*(24*365-B13*B14))*0.005786</f>
        <v>15.531674127271598</v>
      </c>
      <c r="E53" s="98" t="s">
        <v>18</v>
      </c>
    </row>
    <row r="54" spans="1:5" ht="12" customHeight="1">
      <c r="A54" s="99" t="s">
        <v>19</v>
      </c>
      <c r="B54" s="100">
        <f>(C31*B13*B14+D31*(24*365-B13*B14))/0.46*2.2/2000</f>
        <v>6.419108169644404</v>
      </c>
      <c r="C54" s="101" t="s">
        <v>75</v>
      </c>
      <c r="D54" s="102">
        <f>(C31*B13*B14+D31*(24*365-B13*B14))*0.002491</f>
        <v>6.6867266247897605</v>
      </c>
      <c r="E54" s="103" t="s">
        <v>20</v>
      </c>
    </row>
    <row r="55" spans="1:6" ht="15">
      <c r="A55" s="104"/>
      <c r="B55" s="71"/>
      <c r="F55" s="72"/>
    </row>
    <row r="56" spans="1:6" ht="15">
      <c r="A56" s="104"/>
      <c r="B56" s="71"/>
      <c r="F56" s="72"/>
    </row>
    <row r="57" spans="1:6" ht="15">
      <c r="A57" s="104"/>
      <c r="B57" s="71"/>
      <c r="F57" s="72"/>
    </row>
    <row r="58" ht="14.25" customHeight="1">
      <c r="A58" s="72"/>
    </row>
    <row r="59" ht="20.25" customHeight="1"/>
    <row r="63" ht="14.25" customHeight="1"/>
  </sheetData>
  <sheetProtection/>
  <mergeCells count="8">
    <mergeCell ref="H10:I10"/>
    <mergeCell ref="C38:D38"/>
    <mergeCell ref="D10:E10"/>
    <mergeCell ref="D27:E27"/>
    <mergeCell ref="D28:E28"/>
    <mergeCell ref="D29:E29"/>
    <mergeCell ref="D30:E30"/>
    <mergeCell ref="D31:E31"/>
  </mergeCells>
  <printOptions/>
  <pageMargins left="0.7" right="0.7" top="0.75" bottom="0.75" header="0.3" footer="0.3"/>
  <pageSetup fitToHeight="1" fitToWidth="1" horizontalDpi="600" verticalDpi="600" orientation="portrait" scale="85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6:J58"/>
  <sheetViews>
    <sheetView zoomScalePageLayoutView="0" workbookViewId="0" topLeftCell="A1">
      <selection activeCell="A4" sqref="A4:IV4"/>
    </sheetView>
  </sheetViews>
  <sheetFormatPr defaultColWidth="9.140625" defaultRowHeight="12.75"/>
  <cols>
    <col min="1" max="1" width="42.7109375" style="3" customWidth="1"/>
    <col min="2" max="2" width="15.421875" style="3" customWidth="1"/>
    <col min="3" max="3" width="16.7109375" style="3" customWidth="1"/>
    <col min="4" max="4" width="15.7109375" style="3" customWidth="1"/>
    <col min="5" max="5" width="15.57421875" style="3" customWidth="1"/>
    <col min="6" max="7" width="9.140625" style="3" customWidth="1"/>
    <col min="8" max="8" width="12.28125" style="3" customWidth="1"/>
    <col min="9" max="9" width="10.421875" style="3" customWidth="1"/>
    <col min="10" max="16384" width="9.140625" style="3" customWidth="1"/>
  </cols>
  <sheetData>
    <row r="1" ht="12.75"/>
    <row r="2" ht="12.75"/>
    <row r="3" ht="12.75"/>
    <row r="4" ht="12.75"/>
    <row r="5" ht="12.75"/>
    <row r="6" spans="1:5" ht="30">
      <c r="A6" s="2"/>
      <c r="B6" s="105" t="s">
        <v>51</v>
      </c>
      <c r="D6" s="72"/>
      <c r="E6" s="72"/>
    </row>
    <row r="7" spans="2:4" ht="15.75">
      <c r="B7" s="143" t="s">
        <v>76</v>
      </c>
      <c r="D7" s="4"/>
    </row>
    <row r="8" spans="1:5" ht="14.25">
      <c r="A8" s="5" t="s">
        <v>48</v>
      </c>
      <c r="B8" s="108" t="s">
        <v>58</v>
      </c>
      <c r="C8" s="107"/>
      <c r="D8" s="107"/>
      <c r="E8" s="107"/>
    </row>
    <row r="9" spans="1:5" ht="14.25">
      <c r="A9" s="1" t="s">
        <v>49</v>
      </c>
      <c r="B9" s="109" t="s">
        <v>58</v>
      </c>
      <c r="C9" s="106"/>
      <c r="D9" s="106"/>
      <c r="E9" s="106"/>
    </row>
    <row r="10" spans="1:10" ht="15">
      <c r="A10" s="6" t="s">
        <v>1</v>
      </c>
      <c r="B10" s="7"/>
      <c r="C10" s="7"/>
      <c r="D10" s="181" t="s">
        <v>5</v>
      </c>
      <c r="E10" s="182"/>
      <c r="H10" s="177" t="s">
        <v>52</v>
      </c>
      <c r="I10" s="178"/>
      <c r="J10" s="172"/>
    </row>
    <row r="11" spans="1:9" ht="14.25">
      <c r="A11" s="8" t="s">
        <v>7</v>
      </c>
      <c r="B11" s="9">
        <v>0.5</v>
      </c>
      <c r="C11" s="10">
        <f>D12*E12+D13*E13+D14*E14+D15*E15+D16*E16+D17*E17+D18*E18+D19*E19+D20*E20+D21*E21+D22*E22+D23*E23+D24*E24+D25*E25+D26*E26+0.001</f>
        <v>150.001</v>
      </c>
      <c r="D11" s="11" t="s">
        <v>3</v>
      </c>
      <c r="E11" s="12" t="s">
        <v>4</v>
      </c>
      <c r="G11" s="112" t="s">
        <v>55</v>
      </c>
      <c r="H11" s="112" t="s">
        <v>53</v>
      </c>
      <c r="I11" s="112" t="s">
        <v>54</v>
      </c>
    </row>
    <row r="12" spans="1:9" ht="15" customHeight="1">
      <c r="A12" s="13" t="s">
        <v>8</v>
      </c>
      <c r="B12" s="14">
        <v>0.3</v>
      </c>
      <c r="C12" s="15" t="s">
        <v>6</v>
      </c>
      <c r="D12" s="16">
        <v>0</v>
      </c>
      <c r="E12" s="17">
        <v>15</v>
      </c>
      <c r="G12" s="113">
        <v>15</v>
      </c>
      <c r="H12" s="114">
        <v>0.97</v>
      </c>
      <c r="I12" s="114">
        <v>0.979</v>
      </c>
    </row>
    <row r="13" spans="1:9" ht="14.25">
      <c r="A13" s="13" t="s">
        <v>39</v>
      </c>
      <c r="B13" s="18">
        <v>12</v>
      </c>
      <c r="C13" s="19">
        <f>B17*C11</f>
        <v>142.50095</v>
      </c>
      <c r="D13" s="16">
        <v>0</v>
      </c>
      <c r="E13" s="17">
        <v>30</v>
      </c>
      <c r="G13" s="113">
        <v>30</v>
      </c>
      <c r="H13" s="114">
        <v>0.975</v>
      </c>
      <c r="I13" s="114">
        <v>0.983</v>
      </c>
    </row>
    <row r="14" spans="1:9" ht="14.25">
      <c r="A14" s="13" t="s">
        <v>40</v>
      </c>
      <c r="B14" s="18">
        <v>260</v>
      </c>
      <c r="C14" s="20"/>
      <c r="D14" s="16">
        <v>0</v>
      </c>
      <c r="E14" s="16">
        <v>45</v>
      </c>
      <c r="G14" s="115">
        <v>45</v>
      </c>
      <c r="H14" s="114">
        <v>0.977</v>
      </c>
      <c r="I14" s="114">
        <v>0.984</v>
      </c>
    </row>
    <row r="15" spans="1:9" ht="14.25">
      <c r="A15" s="13" t="s">
        <v>14</v>
      </c>
      <c r="B15" s="21">
        <f>Summary!B21</f>
        <v>0.12</v>
      </c>
      <c r="C15" s="22" t="s">
        <v>11</v>
      </c>
      <c r="D15" s="16">
        <v>0</v>
      </c>
      <c r="E15" s="17">
        <v>75</v>
      </c>
      <c r="G15" s="113">
        <v>75</v>
      </c>
      <c r="H15" s="114">
        <v>0.98</v>
      </c>
      <c r="I15" s="114">
        <v>0.986</v>
      </c>
    </row>
    <row r="16" spans="1:9" ht="14.25">
      <c r="A16" s="13" t="s">
        <v>41</v>
      </c>
      <c r="B16" s="23">
        <v>10</v>
      </c>
      <c r="C16" s="19">
        <f>B11*C13</f>
        <v>71.250475</v>
      </c>
      <c r="D16" s="16">
        <v>0</v>
      </c>
      <c r="E16" s="17">
        <v>112.5</v>
      </c>
      <c r="G16" s="113">
        <v>112.5</v>
      </c>
      <c r="H16" s="114">
        <v>0.982</v>
      </c>
      <c r="I16" s="114">
        <v>0.987</v>
      </c>
    </row>
    <row r="17" spans="1:9" ht="14.25">
      <c r="A17" s="13" t="s">
        <v>2</v>
      </c>
      <c r="B17" s="24">
        <v>0.95</v>
      </c>
      <c r="C17" s="19">
        <f>B12*C13</f>
        <v>42.750285</v>
      </c>
      <c r="D17" s="16">
        <f>Summary!C16</f>
        <v>1</v>
      </c>
      <c r="E17" s="17">
        <v>150</v>
      </c>
      <c r="G17" s="113">
        <v>150</v>
      </c>
      <c r="H17" s="114">
        <v>0.983</v>
      </c>
      <c r="I17" s="114">
        <v>0.988</v>
      </c>
    </row>
    <row r="18" spans="1:9" ht="14.25">
      <c r="A18" s="13" t="s">
        <v>36</v>
      </c>
      <c r="B18" s="25">
        <v>1.75</v>
      </c>
      <c r="C18" s="26"/>
      <c r="D18" s="16">
        <v>0</v>
      </c>
      <c r="E18" s="17">
        <v>225</v>
      </c>
      <c r="G18" s="113">
        <v>225</v>
      </c>
      <c r="H18" s="114">
        <v>0.985</v>
      </c>
      <c r="I18" s="114">
        <v>0.99</v>
      </c>
    </row>
    <row r="19" spans="1:9" ht="12.75">
      <c r="A19" s="13"/>
      <c r="C19" s="27" t="s">
        <v>27</v>
      </c>
      <c r="D19" s="16">
        <v>0</v>
      </c>
      <c r="E19" s="17">
        <v>300</v>
      </c>
      <c r="G19" s="113">
        <v>300</v>
      </c>
      <c r="H19" s="114">
        <v>0.986</v>
      </c>
      <c r="I19" s="114">
        <v>0.99</v>
      </c>
    </row>
    <row r="20" spans="1:9" ht="14.25">
      <c r="A20" s="28" t="s">
        <v>24</v>
      </c>
      <c r="B20" s="29">
        <v>0.983</v>
      </c>
      <c r="C20" s="30">
        <v>1</v>
      </c>
      <c r="D20" s="31">
        <v>0</v>
      </c>
      <c r="E20" s="32">
        <v>500</v>
      </c>
      <c r="G20" s="113">
        <v>500</v>
      </c>
      <c r="H20" s="114">
        <v>0.987</v>
      </c>
      <c r="I20" s="114">
        <v>0.991</v>
      </c>
    </row>
    <row r="21" spans="1:9" ht="14.25">
      <c r="A21" s="28" t="s">
        <v>43</v>
      </c>
      <c r="B21" s="29">
        <v>0.988</v>
      </c>
      <c r="C21" s="26"/>
      <c r="D21" s="33"/>
      <c r="E21" s="34"/>
      <c r="G21" s="54"/>
      <c r="H21" s="50"/>
      <c r="I21" s="50"/>
    </row>
    <row r="22" spans="1:7" ht="12.75">
      <c r="A22" s="35"/>
      <c r="C22" s="26"/>
      <c r="D22" s="36"/>
      <c r="E22" s="36"/>
      <c r="G22" s="54"/>
    </row>
    <row r="23" spans="3:7" ht="12.75">
      <c r="C23" s="26"/>
      <c r="D23" s="36"/>
      <c r="E23" s="36"/>
      <c r="G23" s="54"/>
    </row>
    <row r="24" spans="3:7" ht="12.75">
      <c r="C24" s="26"/>
      <c r="D24" s="36"/>
      <c r="E24" s="36"/>
      <c r="G24" s="54"/>
    </row>
    <row r="25" spans="3:7" ht="12.75">
      <c r="C25" s="26"/>
      <c r="D25" s="36"/>
      <c r="E25" s="36"/>
      <c r="G25" s="54"/>
    </row>
    <row r="26" spans="2:7" ht="13.5" customHeight="1">
      <c r="B26" s="37"/>
      <c r="C26" s="38"/>
      <c r="D26" s="39"/>
      <c r="E26" s="40"/>
      <c r="G26" s="54"/>
    </row>
    <row r="27" spans="1:5" ht="15">
      <c r="A27" s="6" t="s">
        <v>21</v>
      </c>
      <c r="B27" s="41" t="s">
        <v>26</v>
      </c>
      <c r="C27" s="42" t="s">
        <v>12</v>
      </c>
      <c r="D27" s="176" t="s">
        <v>13</v>
      </c>
      <c r="E27" s="176"/>
    </row>
    <row r="28" spans="2:5" ht="12.75">
      <c r="B28" s="43" t="s">
        <v>0</v>
      </c>
      <c r="C28" s="42" t="s">
        <v>9</v>
      </c>
      <c r="D28" s="176" t="s">
        <v>10</v>
      </c>
      <c r="E28" s="176"/>
    </row>
    <row r="29" spans="1:5" ht="14.25">
      <c r="A29" s="13" t="s">
        <v>47</v>
      </c>
      <c r="B29" s="44">
        <f>((C29)*B15*B13*B14+B16*(C29)*12+(24*365-B13*B14)*(D29)*B15)</f>
        <v>1661.2125011998041</v>
      </c>
      <c r="C29" s="45">
        <f>($C$16/(1-(1-B20)*$C$20)-B11*C13)*(1+B18/3.52)</f>
        <v>1.8448077705221706</v>
      </c>
      <c r="D29" s="183">
        <f>C29*C17/C16</f>
        <v>1.1068846623133024</v>
      </c>
      <c r="E29" s="183"/>
    </row>
    <row r="30" spans="1:5" ht="14.25">
      <c r="A30" s="13" t="s">
        <v>45</v>
      </c>
      <c r="B30" s="46">
        <f>((C30)*B15*B13*B14+B16*(C30)*12+(24*365-B13*B14)*(D30)*B15)</f>
        <v>1166.6862743601346</v>
      </c>
      <c r="C30" s="47">
        <f>($C$16/B21-$C$16)*(1+B18/3.52)</f>
        <v>1.2956270815122322</v>
      </c>
      <c r="D30" s="179">
        <f>C30*C17/C16</f>
        <v>0.7773762489073394</v>
      </c>
      <c r="E30" s="179"/>
    </row>
    <row r="31" spans="1:5" ht="14.25">
      <c r="A31" s="48" t="s">
        <v>44</v>
      </c>
      <c r="B31" s="49">
        <f>B29-B30</f>
        <v>494.52622683966956</v>
      </c>
      <c r="C31" s="45">
        <f>C29-C30</f>
        <v>0.5491806890099384</v>
      </c>
      <c r="D31" s="180">
        <f>D29-D30</f>
        <v>0.32950841340596304</v>
      </c>
      <c r="E31" s="180"/>
    </row>
    <row r="32" spans="3:6" ht="12.75">
      <c r="C32" s="51"/>
      <c r="D32" s="52"/>
      <c r="E32" s="53"/>
      <c r="F32" s="54"/>
    </row>
    <row r="33" spans="1:6" ht="15">
      <c r="A33" s="55" t="s">
        <v>38</v>
      </c>
      <c r="B33" s="56">
        <f>C31*B13*B14+D31*(24*365-B13*B14)</f>
        <v>3571.8712013206396</v>
      </c>
      <c r="C33" s="57" t="s">
        <v>33</v>
      </c>
      <c r="D33" s="58"/>
      <c r="E33" s="54"/>
      <c r="F33" s="54"/>
    </row>
    <row r="34" spans="1:6" ht="15" customHeight="1">
      <c r="A34" s="59" t="s">
        <v>31</v>
      </c>
      <c r="B34" s="60">
        <f>C31/3.52</f>
        <v>0.15601724119600524</v>
      </c>
      <c r="C34" s="61" t="s">
        <v>34</v>
      </c>
      <c r="D34" s="62"/>
      <c r="E34" s="54"/>
      <c r="F34" s="54"/>
    </row>
    <row r="35" spans="1:6" ht="15" customHeight="1">
      <c r="A35" s="63" t="s">
        <v>37</v>
      </c>
      <c r="B35" s="64">
        <f>D31/3.52</f>
        <v>0.09361034471760314</v>
      </c>
      <c r="C35" s="61" t="s">
        <v>35</v>
      </c>
      <c r="D35" s="62"/>
      <c r="E35" s="54"/>
      <c r="F35" s="54"/>
    </row>
    <row r="36" spans="1:6" ht="12.75">
      <c r="A36" s="65"/>
      <c r="B36" s="65"/>
      <c r="C36" s="66"/>
      <c r="D36" s="67"/>
      <c r="E36" s="54"/>
      <c r="F36" s="54"/>
    </row>
    <row r="37" spans="1:6" ht="14.25">
      <c r="A37" s="68" t="s">
        <v>23</v>
      </c>
      <c r="B37" s="69">
        <v>0</v>
      </c>
      <c r="C37" s="66"/>
      <c r="D37" s="67"/>
      <c r="E37" s="51"/>
      <c r="F37" s="54"/>
    </row>
    <row r="38" spans="1:9" ht="19.5" customHeight="1">
      <c r="A38" s="70"/>
      <c r="B38" s="71"/>
      <c r="C38" s="174" t="s">
        <v>32</v>
      </c>
      <c r="D38" s="175"/>
      <c r="F38" s="72"/>
      <c r="G38" s="39"/>
      <c r="H38" s="116" t="s">
        <v>56</v>
      </c>
      <c r="I38" s="111"/>
    </row>
    <row r="39" spans="1:9" ht="15.75" customHeight="1">
      <c r="A39" s="73" t="s">
        <v>30</v>
      </c>
      <c r="B39" s="74" t="s">
        <v>25</v>
      </c>
      <c r="C39" s="74" t="s">
        <v>42</v>
      </c>
      <c r="D39" s="75" t="s">
        <v>46</v>
      </c>
      <c r="F39" s="72"/>
      <c r="G39" s="117" t="s">
        <v>55</v>
      </c>
      <c r="H39" s="118" t="s">
        <v>57</v>
      </c>
      <c r="I39" s="118" t="s">
        <v>138</v>
      </c>
    </row>
    <row r="40" spans="1:9" ht="15.75" customHeight="1">
      <c r="A40" s="76" t="s">
        <v>28</v>
      </c>
      <c r="B40" s="77">
        <f>SUM(D17*H45)</f>
        <v>6250</v>
      </c>
      <c r="C40" s="78">
        <f>30*(B37+B29)</f>
        <v>49836.375035994126</v>
      </c>
      <c r="D40" s="78">
        <f>50*(B37+B29)</f>
        <v>83060.62505999021</v>
      </c>
      <c r="F40" s="72"/>
      <c r="G40" s="113">
        <v>15</v>
      </c>
      <c r="H40" s="119">
        <v>1730</v>
      </c>
      <c r="I40" s="119">
        <v>1906</v>
      </c>
    </row>
    <row r="41" spans="1:9" ht="15.75" customHeight="1" thickBot="1">
      <c r="A41" s="76" t="s">
        <v>45</v>
      </c>
      <c r="B41" s="77">
        <f>SUM(D17*I45)</f>
        <v>7509</v>
      </c>
      <c r="C41" s="79">
        <f>30*B30</f>
        <v>35000.58823080404</v>
      </c>
      <c r="D41" s="79">
        <f>50*B30</f>
        <v>58334.31371800673</v>
      </c>
      <c r="E41" s="80"/>
      <c r="F41" s="72"/>
      <c r="G41" s="113">
        <v>30</v>
      </c>
      <c r="H41" s="119">
        <v>2130</v>
      </c>
      <c r="I41" s="119">
        <v>2562</v>
      </c>
    </row>
    <row r="42" spans="1:9" ht="15" thickBot="1">
      <c r="A42" s="81" t="s">
        <v>29</v>
      </c>
      <c r="B42" s="82">
        <f>B40-B41</f>
        <v>-1259</v>
      </c>
      <c r="C42" s="83">
        <f>C40-C41</f>
        <v>14835.786805190088</v>
      </c>
      <c r="D42" s="84">
        <f>D40-D41</f>
        <v>24726.311341983484</v>
      </c>
      <c r="F42" s="72"/>
      <c r="G42" s="115">
        <v>45</v>
      </c>
      <c r="H42" s="119">
        <v>2760</v>
      </c>
      <c r="I42" s="119">
        <v>3322</v>
      </c>
    </row>
    <row r="43" spans="1:9" ht="12.75">
      <c r="A43" s="76" t="s">
        <v>22</v>
      </c>
      <c r="B43" s="85">
        <f>(B41-B40)/((B31+B37))</f>
        <v>2.5458710411494123</v>
      </c>
      <c r="C43" s="86" t="s">
        <v>50</v>
      </c>
      <c r="F43" s="72"/>
      <c r="G43" s="113">
        <v>75</v>
      </c>
      <c r="H43" s="119">
        <v>3510</v>
      </c>
      <c r="I43" s="119">
        <v>4458</v>
      </c>
    </row>
    <row r="44" spans="1:9" ht="12.75">
      <c r="A44" s="87"/>
      <c r="B44" s="88"/>
      <c r="C44" s="89"/>
      <c r="F44" s="72"/>
      <c r="G44" s="113">
        <v>112.5</v>
      </c>
      <c r="H44" s="119">
        <v>4800</v>
      </c>
      <c r="I44" s="119">
        <v>5763</v>
      </c>
    </row>
    <row r="45" spans="1:9" ht="12.75">
      <c r="A45" s="87"/>
      <c r="B45" s="88"/>
      <c r="C45" s="89"/>
      <c r="F45" s="72"/>
      <c r="G45" s="113">
        <v>150</v>
      </c>
      <c r="H45" s="119">
        <v>6250</v>
      </c>
      <c r="I45" s="119">
        <v>7509</v>
      </c>
    </row>
    <row r="46" spans="1:9" ht="12.75">
      <c r="A46" s="87"/>
      <c r="B46" s="88"/>
      <c r="C46" s="89"/>
      <c r="F46" s="72"/>
      <c r="G46" s="113">
        <v>225</v>
      </c>
      <c r="H46" s="119">
        <v>8415</v>
      </c>
      <c r="I46" s="119">
        <v>10105</v>
      </c>
    </row>
    <row r="47" spans="1:9" ht="12.75">
      <c r="A47" s="87"/>
      <c r="B47" s="88"/>
      <c r="C47" s="89"/>
      <c r="F47" s="72"/>
      <c r="G47" s="113">
        <v>300</v>
      </c>
      <c r="H47" s="119">
        <v>11680</v>
      </c>
      <c r="I47" s="119">
        <v>14026</v>
      </c>
    </row>
    <row r="48" spans="1:9" ht="12.75">
      <c r="A48" s="87"/>
      <c r="B48" s="88"/>
      <c r="C48" s="89"/>
      <c r="F48" s="72"/>
      <c r="G48" s="113">
        <v>500</v>
      </c>
      <c r="H48" s="119">
        <v>15400</v>
      </c>
      <c r="I48" s="119">
        <v>18551</v>
      </c>
    </row>
    <row r="49" spans="1:6" ht="12.75">
      <c r="A49" s="87"/>
      <c r="B49" s="88"/>
      <c r="C49" s="89"/>
      <c r="F49" s="72"/>
    </row>
    <row r="50" ht="12.75">
      <c r="F50" s="72"/>
    </row>
    <row r="51" spans="1:5" ht="15.75">
      <c r="A51" s="90"/>
      <c r="B51" s="91"/>
      <c r="C51" s="91"/>
      <c r="D51" s="91"/>
      <c r="E51" s="92"/>
    </row>
    <row r="52" spans="1:5" ht="15.75">
      <c r="A52" s="73" t="s">
        <v>15</v>
      </c>
      <c r="B52" s="93"/>
      <c r="C52" s="93"/>
      <c r="D52" s="93"/>
      <c r="E52" s="93"/>
    </row>
    <row r="53" spans="1:5" ht="14.25" customHeight="1">
      <c r="A53" s="94" t="s">
        <v>16</v>
      </c>
      <c r="B53" s="95">
        <f>(C31*B13*B14+D31*(24*365-B13*B14))*0.000738</f>
        <v>2.636040946574632</v>
      </c>
      <c r="C53" s="96" t="s">
        <v>17</v>
      </c>
      <c r="D53" s="97">
        <f>(C31*B13*B14+D31*(24*365-B13*B14))*0.005786</f>
        <v>20.66684677084122</v>
      </c>
      <c r="E53" s="98" t="s">
        <v>18</v>
      </c>
    </row>
    <row r="54" spans="1:5" ht="12" customHeight="1">
      <c r="A54" s="99" t="s">
        <v>19</v>
      </c>
      <c r="B54" s="100">
        <f>(C31*B13*B14+D31*(24*365-B13*B14))/0.46*2.2/2000</f>
        <v>8.541431133592834</v>
      </c>
      <c r="C54" s="101" t="s">
        <v>75</v>
      </c>
      <c r="D54" s="102">
        <f>(C31*B13*B14+D31*(24*365-B13*B14))*0.002491</f>
        <v>8.897531162489713</v>
      </c>
      <c r="E54" s="103" t="s">
        <v>20</v>
      </c>
    </row>
    <row r="55" spans="1:6" ht="15">
      <c r="A55" s="104"/>
      <c r="B55" s="71"/>
      <c r="F55" s="72"/>
    </row>
    <row r="56" spans="1:6" ht="15">
      <c r="A56" s="104"/>
      <c r="B56" s="71"/>
      <c r="F56" s="72"/>
    </row>
    <row r="57" spans="1:6" ht="15">
      <c r="A57" s="104"/>
      <c r="B57" s="71"/>
      <c r="F57" s="72"/>
    </row>
    <row r="58" ht="14.25" customHeight="1">
      <c r="A58" s="72"/>
    </row>
    <row r="59" ht="20.25" customHeight="1"/>
    <row r="63" ht="14.25" customHeight="1"/>
  </sheetData>
  <sheetProtection/>
  <mergeCells count="8">
    <mergeCell ref="H10:I10"/>
    <mergeCell ref="C38:D38"/>
    <mergeCell ref="D10:E10"/>
    <mergeCell ref="D27:E27"/>
    <mergeCell ref="D28:E28"/>
    <mergeCell ref="D29:E29"/>
    <mergeCell ref="D30:E30"/>
    <mergeCell ref="D31:E31"/>
  </mergeCells>
  <printOptions/>
  <pageMargins left="0.7" right="0.7" top="0.75" bottom="0.75" header="0.3" footer="0.3"/>
  <pageSetup fitToHeight="1" fitToWidth="1" horizontalDpi="600" verticalDpi="600" orientation="portrait" scale="85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6:J58"/>
  <sheetViews>
    <sheetView zoomScalePageLayoutView="0" workbookViewId="0" topLeftCell="A1">
      <selection activeCell="A4" sqref="A4:IV4"/>
    </sheetView>
  </sheetViews>
  <sheetFormatPr defaultColWidth="9.140625" defaultRowHeight="12.75"/>
  <cols>
    <col min="1" max="1" width="42.7109375" style="3" customWidth="1"/>
    <col min="2" max="2" width="15.421875" style="3" customWidth="1"/>
    <col min="3" max="3" width="16.7109375" style="3" customWidth="1"/>
    <col min="4" max="4" width="15.7109375" style="3" customWidth="1"/>
    <col min="5" max="5" width="15.57421875" style="3" customWidth="1"/>
    <col min="6" max="7" width="9.140625" style="3" customWidth="1"/>
    <col min="8" max="8" width="12.28125" style="3" customWidth="1"/>
    <col min="9" max="9" width="10.421875" style="3" customWidth="1"/>
    <col min="10" max="16384" width="9.140625" style="3" customWidth="1"/>
  </cols>
  <sheetData>
    <row r="1" ht="12.75"/>
    <row r="2" ht="12.75"/>
    <row r="3" ht="12.75"/>
    <row r="4" ht="12.75"/>
    <row r="5" ht="12.75"/>
    <row r="6" spans="1:5" ht="30">
      <c r="A6" s="2"/>
      <c r="B6" s="105" t="s">
        <v>51</v>
      </c>
      <c r="D6" s="72"/>
      <c r="E6" s="72"/>
    </row>
    <row r="7" spans="2:4" ht="15.75">
      <c r="B7" s="143" t="s">
        <v>76</v>
      </c>
      <c r="D7" s="4"/>
    </row>
    <row r="8" spans="1:5" ht="14.25">
      <c r="A8" s="5" t="s">
        <v>48</v>
      </c>
      <c r="B8" s="108" t="s">
        <v>58</v>
      </c>
      <c r="C8" s="107"/>
      <c r="D8" s="107"/>
      <c r="E8" s="107"/>
    </row>
    <row r="9" spans="1:5" ht="14.25">
      <c r="A9" s="1" t="s">
        <v>49</v>
      </c>
      <c r="B9" s="109" t="s">
        <v>58</v>
      </c>
      <c r="C9" s="106"/>
      <c r="D9" s="106"/>
      <c r="E9" s="106"/>
    </row>
    <row r="10" spans="1:10" ht="15">
      <c r="A10" s="6" t="s">
        <v>1</v>
      </c>
      <c r="B10" s="7"/>
      <c r="C10" s="7"/>
      <c r="D10" s="181" t="s">
        <v>5</v>
      </c>
      <c r="E10" s="182"/>
      <c r="H10" s="177" t="s">
        <v>52</v>
      </c>
      <c r="I10" s="178"/>
      <c r="J10" s="172"/>
    </row>
    <row r="11" spans="1:9" ht="14.25">
      <c r="A11" s="8" t="s">
        <v>7</v>
      </c>
      <c r="B11" s="9">
        <v>0.5</v>
      </c>
      <c r="C11" s="10">
        <f>D12*E12+D13*E13+D14*E14+D15*E15+D16*E16+D17*E17+D18*E18+D19*E19+D20*E20+D21*E21+D22*E22+D23*E23+D24*E24+D25*E25+D26*E26+0.001</f>
        <v>225.001</v>
      </c>
      <c r="D11" s="11" t="s">
        <v>3</v>
      </c>
      <c r="E11" s="12" t="s">
        <v>4</v>
      </c>
      <c r="G11" s="112" t="s">
        <v>55</v>
      </c>
      <c r="H11" s="112" t="s">
        <v>53</v>
      </c>
      <c r="I11" s="112" t="s">
        <v>54</v>
      </c>
    </row>
    <row r="12" spans="1:9" ht="15" customHeight="1">
      <c r="A12" s="13" t="s">
        <v>8</v>
      </c>
      <c r="B12" s="14">
        <v>0.3</v>
      </c>
      <c r="C12" s="15" t="s">
        <v>6</v>
      </c>
      <c r="D12" s="16">
        <v>0</v>
      </c>
      <c r="E12" s="17">
        <v>15</v>
      </c>
      <c r="G12" s="113">
        <v>15</v>
      </c>
      <c r="H12" s="114">
        <v>0.97</v>
      </c>
      <c r="I12" s="114">
        <v>0.979</v>
      </c>
    </row>
    <row r="13" spans="1:9" ht="14.25">
      <c r="A13" s="13" t="s">
        <v>39</v>
      </c>
      <c r="B13" s="18">
        <v>12</v>
      </c>
      <c r="C13" s="19">
        <f>B17*C11</f>
        <v>213.75095</v>
      </c>
      <c r="D13" s="16">
        <v>0</v>
      </c>
      <c r="E13" s="17">
        <v>30</v>
      </c>
      <c r="G13" s="113">
        <v>30</v>
      </c>
      <c r="H13" s="114">
        <v>0.975</v>
      </c>
      <c r="I13" s="114">
        <v>0.983</v>
      </c>
    </row>
    <row r="14" spans="1:9" ht="14.25">
      <c r="A14" s="13" t="s">
        <v>40</v>
      </c>
      <c r="B14" s="18">
        <v>260</v>
      </c>
      <c r="C14" s="20"/>
      <c r="D14" s="16">
        <v>0</v>
      </c>
      <c r="E14" s="16">
        <v>45</v>
      </c>
      <c r="G14" s="115">
        <v>45</v>
      </c>
      <c r="H14" s="114">
        <v>0.977</v>
      </c>
      <c r="I14" s="114">
        <v>0.984</v>
      </c>
    </row>
    <row r="15" spans="1:9" ht="14.25">
      <c r="A15" s="13" t="s">
        <v>14</v>
      </c>
      <c r="B15" s="21">
        <f>Summary!B21</f>
        <v>0.12</v>
      </c>
      <c r="C15" s="22" t="s">
        <v>11</v>
      </c>
      <c r="D15" s="16">
        <v>0</v>
      </c>
      <c r="E15" s="17">
        <v>75</v>
      </c>
      <c r="G15" s="113">
        <v>75</v>
      </c>
      <c r="H15" s="114">
        <v>0.98</v>
      </c>
      <c r="I15" s="114">
        <v>0.986</v>
      </c>
    </row>
    <row r="16" spans="1:9" ht="14.25">
      <c r="A16" s="13" t="s">
        <v>41</v>
      </c>
      <c r="B16" s="23">
        <v>10</v>
      </c>
      <c r="C16" s="19">
        <f>B11*C13</f>
        <v>106.875475</v>
      </c>
      <c r="D16" s="16">
        <v>0</v>
      </c>
      <c r="E16" s="17">
        <v>112.5</v>
      </c>
      <c r="G16" s="113">
        <v>112.5</v>
      </c>
      <c r="H16" s="114">
        <v>0.982</v>
      </c>
      <c r="I16" s="114">
        <v>0.987</v>
      </c>
    </row>
    <row r="17" spans="1:9" ht="14.25">
      <c r="A17" s="13" t="s">
        <v>2</v>
      </c>
      <c r="B17" s="24">
        <v>0.95</v>
      </c>
      <c r="C17" s="19">
        <f>B12*C13</f>
        <v>64.12528499999999</v>
      </c>
      <c r="D17" s="16">
        <v>0</v>
      </c>
      <c r="E17" s="17">
        <v>150</v>
      </c>
      <c r="G17" s="113">
        <v>150</v>
      </c>
      <c r="H17" s="114">
        <v>0.983</v>
      </c>
      <c r="I17" s="114">
        <v>0.988</v>
      </c>
    </row>
    <row r="18" spans="1:9" ht="14.25">
      <c r="A18" s="13" t="s">
        <v>36</v>
      </c>
      <c r="B18" s="25">
        <v>1.75</v>
      </c>
      <c r="C18" s="26"/>
      <c r="D18" s="16">
        <f>Summary!C17</f>
        <v>1</v>
      </c>
      <c r="E18" s="17">
        <v>225</v>
      </c>
      <c r="G18" s="113">
        <v>225</v>
      </c>
      <c r="H18" s="114">
        <v>0.985</v>
      </c>
      <c r="I18" s="114">
        <v>0.99</v>
      </c>
    </row>
    <row r="19" spans="1:9" ht="12.75">
      <c r="A19" s="13"/>
      <c r="C19" s="27" t="s">
        <v>27</v>
      </c>
      <c r="D19" s="16">
        <v>0</v>
      </c>
      <c r="E19" s="17">
        <v>300</v>
      </c>
      <c r="G19" s="113">
        <v>300</v>
      </c>
      <c r="H19" s="114">
        <v>0.986</v>
      </c>
      <c r="I19" s="114">
        <v>0.99</v>
      </c>
    </row>
    <row r="20" spans="1:9" ht="14.25">
      <c r="A20" s="28" t="s">
        <v>24</v>
      </c>
      <c r="B20" s="29">
        <v>0.985</v>
      </c>
      <c r="C20" s="30">
        <v>1</v>
      </c>
      <c r="D20" s="31">
        <v>0</v>
      </c>
      <c r="E20" s="32">
        <v>500</v>
      </c>
      <c r="G20" s="113">
        <v>500</v>
      </c>
      <c r="H20" s="114">
        <v>0.987</v>
      </c>
      <c r="I20" s="114">
        <v>0.991</v>
      </c>
    </row>
    <row r="21" spans="1:9" ht="14.25">
      <c r="A21" s="28" t="s">
        <v>43</v>
      </c>
      <c r="B21" s="29">
        <v>0.99</v>
      </c>
      <c r="C21" s="26"/>
      <c r="D21" s="33"/>
      <c r="E21" s="34"/>
      <c r="G21" s="54"/>
      <c r="H21" s="50"/>
      <c r="I21" s="50"/>
    </row>
    <row r="22" spans="1:7" ht="12.75">
      <c r="A22" s="35"/>
      <c r="C22" s="26"/>
      <c r="D22" s="36"/>
      <c r="E22" s="36"/>
      <c r="G22" s="54"/>
    </row>
    <row r="23" spans="3:7" ht="12.75">
      <c r="C23" s="26"/>
      <c r="D23" s="36"/>
      <c r="E23" s="36"/>
      <c r="G23" s="54"/>
    </row>
    <row r="24" spans="3:7" ht="12.75">
      <c r="C24" s="26"/>
      <c r="D24" s="36"/>
      <c r="E24" s="36"/>
      <c r="G24" s="54"/>
    </row>
    <row r="25" spans="3:7" ht="12.75">
      <c r="C25" s="26"/>
      <c r="D25" s="36"/>
      <c r="E25" s="36"/>
      <c r="G25" s="54"/>
    </row>
    <row r="26" spans="2:7" ht="13.5" customHeight="1">
      <c r="B26" s="37"/>
      <c r="C26" s="38"/>
      <c r="D26" s="39"/>
      <c r="E26" s="40"/>
      <c r="G26" s="54"/>
    </row>
    <row r="27" spans="1:5" ht="15">
      <c r="A27" s="6" t="s">
        <v>21</v>
      </c>
      <c r="B27" s="41" t="s">
        <v>26</v>
      </c>
      <c r="C27" s="42" t="s">
        <v>12</v>
      </c>
      <c r="D27" s="176" t="s">
        <v>13</v>
      </c>
      <c r="E27" s="176"/>
    </row>
    <row r="28" spans="2:5" ht="12.75">
      <c r="B28" s="43" t="s">
        <v>0</v>
      </c>
      <c r="C28" s="42" t="s">
        <v>9</v>
      </c>
      <c r="D28" s="176" t="s">
        <v>10</v>
      </c>
      <c r="E28" s="176"/>
    </row>
    <row r="29" spans="1:5" ht="14.25">
      <c r="A29" s="13" t="s">
        <v>47</v>
      </c>
      <c r="B29" s="44">
        <f>((C29)*B15*B13*B14+B16*(C29)*12+(24*365-B13*B14)*(D29)*B15)</f>
        <v>2194.1944369803878</v>
      </c>
      <c r="C29" s="45">
        <f>($C$16/(1-(1-B20)*$C$20)-B11*C13)*(1+B18/3.52)</f>
        <v>2.436694248601177</v>
      </c>
      <c r="D29" s="183">
        <f>C29*C17/C16</f>
        <v>1.4620165491607062</v>
      </c>
      <c r="E29" s="183"/>
    </row>
    <row r="30" spans="1:5" ht="14.25">
      <c r="A30" s="13" t="s">
        <v>45</v>
      </c>
      <c r="B30" s="46">
        <f>((C30)*B15*B13*B14+B16*(C30)*12+(24*365-B13*B14)*(D30)*B15)</f>
        <v>1455.408431263084</v>
      </c>
      <c r="C30" s="47">
        <f>($C$16/B21-$C$16)*(1+B18/3.52)</f>
        <v>1.616258474661385</v>
      </c>
      <c r="D30" s="179">
        <f>C30*C17/C16</f>
        <v>0.9697550847968309</v>
      </c>
      <c r="E30" s="179"/>
    </row>
    <row r="31" spans="1:5" ht="14.25">
      <c r="A31" s="48" t="s">
        <v>44</v>
      </c>
      <c r="B31" s="49">
        <f>B29-B30</f>
        <v>738.7860057173039</v>
      </c>
      <c r="C31" s="45">
        <f>C29-C30</f>
        <v>0.8204357739397921</v>
      </c>
      <c r="D31" s="180">
        <f>D29-D30</f>
        <v>0.4922614643638753</v>
      </c>
      <c r="E31" s="180"/>
    </row>
    <row r="32" spans="3:6" ht="12.75">
      <c r="C32" s="51"/>
      <c r="D32" s="52"/>
      <c r="E32" s="53"/>
      <c r="F32" s="54"/>
    </row>
    <row r="33" spans="1:6" ht="15">
      <c r="A33" s="55" t="s">
        <v>38</v>
      </c>
      <c r="B33" s="56">
        <f>C31*B13*B14+D31*(24*365-B13*B14)</f>
        <v>5336.114273704408</v>
      </c>
      <c r="C33" s="57" t="s">
        <v>33</v>
      </c>
      <c r="D33" s="58"/>
      <c r="E33" s="54"/>
      <c r="F33" s="54"/>
    </row>
    <row r="34" spans="1:6" ht="15" customHeight="1">
      <c r="A34" s="59" t="s">
        <v>31</v>
      </c>
      <c r="B34" s="60">
        <f>C31/3.52</f>
        <v>0.2330783448692591</v>
      </c>
      <c r="C34" s="61" t="s">
        <v>34</v>
      </c>
      <c r="D34" s="62"/>
      <c r="E34" s="54"/>
      <c r="F34" s="54"/>
    </row>
    <row r="35" spans="1:6" ht="15" customHeight="1">
      <c r="A35" s="63" t="s">
        <v>37</v>
      </c>
      <c r="B35" s="64">
        <f>D31/3.52</f>
        <v>0.1398470069215555</v>
      </c>
      <c r="C35" s="61" t="s">
        <v>35</v>
      </c>
      <c r="D35" s="62"/>
      <c r="E35" s="54"/>
      <c r="F35" s="54"/>
    </row>
    <row r="36" spans="1:6" ht="12.75">
      <c r="A36" s="65"/>
      <c r="B36" s="65"/>
      <c r="C36" s="66"/>
      <c r="D36" s="67"/>
      <c r="E36" s="54"/>
      <c r="F36" s="54"/>
    </row>
    <row r="37" spans="1:6" ht="14.25">
      <c r="A37" s="68" t="s">
        <v>23</v>
      </c>
      <c r="B37" s="69">
        <v>0</v>
      </c>
      <c r="C37" s="66"/>
      <c r="D37" s="67"/>
      <c r="E37" s="51"/>
      <c r="F37" s="54"/>
    </row>
    <row r="38" spans="1:9" ht="19.5" customHeight="1">
      <c r="A38" s="70"/>
      <c r="B38" s="71"/>
      <c r="C38" s="174" t="s">
        <v>32</v>
      </c>
      <c r="D38" s="175"/>
      <c r="F38" s="72"/>
      <c r="G38" s="39"/>
      <c r="H38" s="116" t="s">
        <v>56</v>
      </c>
      <c r="I38" s="111"/>
    </row>
    <row r="39" spans="1:9" ht="15.75" customHeight="1">
      <c r="A39" s="73" t="s">
        <v>30</v>
      </c>
      <c r="B39" s="74" t="s">
        <v>25</v>
      </c>
      <c r="C39" s="74" t="s">
        <v>42</v>
      </c>
      <c r="D39" s="75" t="s">
        <v>46</v>
      </c>
      <c r="F39" s="72"/>
      <c r="G39" s="117" t="s">
        <v>55</v>
      </c>
      <c r="H39" s="118" t="s">
        <v>57</v>
      </c>
      <c r="I39" s="118" t="s">
        <v>138</v>
      </c>
    </row>
    <row r="40" spans="1:9" ht="15.75" customHeight="1">
      <c r="A40" s="76" t="s">
        <v>28</v>
      </c>
      <c r="B40" s="77">
        <f>SUM(D18*H46)</f>
        <v>8415</v>
      </c>
      <c r="C40" s="78">
        <f>30*(B37+B29)</f>
        <v>65825.83310941163</v>
      </c>
      <c r="D40" s="78">
        <f>50*(B37+B29)</f>
        <v>109709.72184901939</v>
      </c>
      <c r="F40" s="72"/>
      <c r="G40" s="113">
        <v>15</v>
      </c>
      <c r="H40" s="119">
        <v>1730</v>
      </c>
      <c r="I40" s="119">
        <v>1906</v>
      </c>
    </row>
    <row r="41" spans="1:9" ht="15.75" customHeight="1" thickBot="1">
      <c r="A41" s="76" t="s">
        <v>45</v>
      </c>
      <c r="B41" s="77">
        <f>SUM(D18*I46)</f>
        <v>10105</v>
      </c>
      <c r="C41" s="79">
        <f>30*B30</f>
        <v>43662.25293789252</v>
      </c>
      <c r="D41" s="79">
        <f>50*B30</f>
        <v>72770.4215631542</v>
      </c>
      <c r="E41" s="80"/>
      <c r="F41" s="72"/>
      <c r="G41" s="113">
        <v>30</v>
      </c>
      <c r="H41" s="119">
        <v>2130</v>
      </c>
      <c r="I41" s="119">
        <v>2562</v>
      </c>
    </row>
    <row r="42" spans="1:9" ht="15" thickBot="1">
      <c r="A42" s="81" t="s">
        <v>29</v>
      </c>
      <c r="B42" s="82">
        <f>B40-B41</f>
        <v>-1690</v>
      </c>
      <c r="C42" s="83">
        <f>C40-C41</f>
        <v>22163.580171519112</v>
      </c>
      <c r="D42" s="84">
        <f>D40-D41</f>
        <v>36939.30028586519</v>
      </c>
      <c r="F42" s="72"/>
      <c r="G42" s="115">
        <v>45</v>
      </c>
      <c r="H42" s="119">
        <v>2760</v>
      </c>
      <c r="I42" s="119">
        <v>3322</v>
      </c>
    </row>
    <row r="43" spans="1:9" ht="12.75">
      <c r="A43" s="76" t="s">
        <v>22</v>
      </c>
      <c r="B43" s="85">
        <f>(B41-B40)/((B31+B37))</f>
        <v>2.2875365625789583</v>
      </c>
      <c r="C43" s="86" t="s">
        <v>50</v>
      </c>
      <c r="F43" s="72"/>
      <c r="G43" s="113">
        <v>75</v>
      </c>
      <c r="H43" s="119">
        <v>3510</v>
      </c>
      <c r="I43" s="119">
        <v>4458</v>
      </c>
    </row>
    <row r="44" spans="1:9" ht="12.75">
      <c r="A44" s="87"/>
      <c r="B44" s="88"/>
      <c r="C44" s="89"/>
      <c r="F44" s="72"/>
      <c r="G44" s="113">
        <v>112.5</v>
      </c>
      <c r="H44" s="119">
        <v>4800</v>
      </c>
      <c r="I44" s="119">
        <v>5763</v>
      </c>
    </row>
    <row r="45" spans="1:9" ht="12.75">
      <c r="A45" s="87"/>
      <c r="B45" s="88"/>
      <c r="C45" s="89"/>
      <c r="F45" s="72"/>
      <c r="G45" s="113">
        <v>150</v>
      </c>
      <c r="H45" s="119">
        <v>6250</v>
      </c>
      <c r="I45" s="119">
        <v>7509</v>
      </c>
    </row>
    <row r="46" spans="1:9" ht="12.75">
      <c r="A46" s="87"/>
      <c r="B46" s="88"/>
      <c r="C46" s="89"/>
      <c r="F46" s="72"/>
      <c r="G46" s="113">
        <v>225</v>
      </c>
      <c r="H46" s="119">
        <v>8415</v>
      </c>
      <c r="I46" s="119">
        <v>10105</v>
      </c>
    </row>
    <row r="47" spans="1:9" ht="12.75">
      <c r="A47" s="87"/>
      <c r="B47" s="88"/>
      <c r="C47" s="89"/>
      <c r="F47" s="72"/>
      <c r="G47" s="113">
        <v>300</v>
      </c>
      <c r="H47" s="119">
        <v>11680</v>
      </c>
      <c r="I47" s="119">
        <v>14026</v>
      </c>
    </row>
    <row r="48" spans="1:9" ht="12.75">
      <c r="A48" s="87"/>
      <c r="B48" s="88"/>
      <c r="C48" s="89"/>
      <c r="F48" s="72"/>
      <c r="G48" s="113">
        <v>500</v>
      </c>
      <c r="H48" s="119">
        <v>15400</v>
      </c>
      <c r="I48" s="119">
        <v>18551</v>
      </c>
    </row>
    <row r="49" spans="1:6" ht="12.75">
      <c r="A49" s="87"/>
      <c r="B49" s="88"/>
      <c r="C49" s="89"/>
      <c r="F49" s="72"/>
    </row>
    <row r="50" ht="12.75">
      <c r="F50" s="72"/>
    </row>
    <row r="51" spans="1:5" ht="15.75">
      <c r="A51" s="90"/>
      <c r="B51" s="91"/>
      <c r="C51" s="91"/>
      <c r="D51" s="91"/>
      <c r="E51" s="92"/>
    </row>
    <row r="52" spans="1:5" ht="15.75">
      <c r="A52" s="73" t="s">
        <v>15</v>
      </c>
      <c r="B52" s="93"/>
      <c r="C52" s="93"/>
      <c r="D52" s="93"/>
      <c r="E52" s="93"/>
    </row>
    <row r="53" spans="1:5" ht="14.25" customHeight="1">
      <c r="A53" s="94" t="s">
        <v>16</v>
      </c>
      <c r="B53" s="95">
        <f>(C31*B13*B14+D31*(24*365-B13*B14))*0.000738</f>
        <v>3.938052333993854</v>
      </c>
      <c r="C53" s="96" t="s">
        <v>17</v>
      </c>
      <c r="D53" s="97">
        <f>(C31*B13*B14+D31*(24*365-B13*B14))*0.005786</f>
        <v>30.87475718765371</v>
      </c>
      <c r="E53" s="98" t="s">
        <v>18</v>
      </c>
    </row>
    <row r="54" spans="1:5" ht="12" customHeight="1">
      <c r="A54" s="99" t="s">
        <v>19</v>
      </c>
      <c r="B54" s="100">
        <f>(C31*B13*B14+D31*(24*365-B13*B14))/0.46*2.2/2000</f>
        <v>12.760273263206194</v>
      </c>
      <c r="C54" s="101" t="s">
        <v>75</v>
      </c>
      <c r="D54" s="102">
        <f>(C31*B13*B14+D31*(24*365-B13*B14))*0.002491</f>
        <v>13.292260655797682</v>
      </c>
      <c r="E54" s="103" t="s">
        <v>20</v>
      </c>
    </row>
    <row r="55" spans="1:6" ht="15">
      <c r="A55" s="104"/>
      <c r="B55" s="71"/>
      <c r="F55" s="72"/>
    </row>
    <row r="56" spans="1:6" ht="15">
      <c r="A56" s="104"/>
      <c r="B56" s="71"/>
      <c r="F56" s="72"/>
    </row>
    <row r="57" spans="1:6" ht="15">
      <c r="A57" s="104"/>
      <c r="B57" s="71"/>
      <c r="F57" s="72"/>
    </row>
    <row r="58" ht="14.25" customHeight="1">
      <c r="A58" s="72"/>
    </row>
    <row r="59" ht="20.25" customHeight="1"/>
    <row r="63" ht="14.25" customHeight="1"/>
  </sheetData>
  <sheetProtection/>
  <mergeCells count="8">
    <mergeCell ref="H10:I10"/>
    <mergeCell ref="C38:D38"/>
    <mergeCell ref="D10:E10"/>
    <mergeCell ref="D27:E27"/>
    <mergeCell ref="D28:E28"/>
    <mergeCell ref="D29:E29"/>
    <mergeCell ref="D30:E30"/>
    <mergeCell ref="D31:E31"/>
  </mergeCells>
  <printOptions/>
  <pageMargins left="0.7" right="0.7" top="0.75" bottom="0.75" header="0.3" footer="0.3"/>
  <pageSetup fitToHeight="1" fitToWidth="1" horizontalDpi="600" verticalDpi="600" orientation="portrait" scale="8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Michael David Boyd</cp:lastModifiedBy>
  <cp:lastPrinted>2010-03-04T23:57:08Z</cp:lastPrinted>
  <dcterms:created xsi:type="dcterms:W3CDTF">1998-12-02T16:26:09Z</dcterms:created>
  <dcterms:modified xsi:type="dcterms:W3CDTF">2010-06-11T13:35:21Z</dcterms:modified>
  <cp:category/>
  <cp:version/>
  <cp:contentType/>
  <cp:contentStatus/>
</cp:coreProperties>
</file>